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 - Novo 15 Jun\templates\"/>
    </mc:Choice>
  </mc:AlternateContent>
  <xr:revisionPtr revIDLastSave="0" documentId="13_ncr:1_{878B0DA1-81EE-450E-8F51-802FA05B86A9}" xr6:coauthVersionLast="47" xr6:coauthVersionMax="47" xr10:uidLastSave="{00000000-0000-0000-0000-000000000000}"/>
  <bookViews>
    <workbookView xWindow="-120" yWindow="-120" windowWidth="29040" windowHeight="15720" tabRatio="882" firstSheet="3"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19" l="1"/>
  <c r="C142" i="22" l="1"/>
  <c r="C141" i="22"/>
  <c r="E40" i="36"/>
  <c r="E41" i="36"/>
  <c r="E42" i="36"/>
  <c r="E43" i="36"/>
  <c r="E44" i="36"/>
  <c r="E45" i="36"/>
  <c r="E46" i="36"/>
  <c r="C57" i="48" s="1"/>
  <c r="E47" i="36"/>
  <c r="C58" i="48" s="1"/>
  <c r="E39" i="36"/>
  <c r="C50" i="48"/>
  <c r="E38" i="36"/>
  <c r="C49" i="48" s="1"/>
  <c r="E36" i="36"/>
  <c r="C47" i="48" s="1"/>
  <c r="E37" i="36"/>
  <c r="E35" i="36"/>
  <c r="C46" i="48" s="1"/>
  <c r="E26" i="36"/>
  <c r="E9" i="36"/>
  <c r="I118" i="48"/>
  <c r="E118" i="48"/>
  <c r="X114" i="48"/>
  <c r="W114" i="48"/>
  <c r="V114" i="48"/>
  <c r="U114" i="48"/>
  <c r="T114" i="48"/>
  <c r="S114" i="48"/>
  <c r="R114" i="48"/>
  <c r="Q114" i="48"/>
  <c r="F101" i="48"/>
  <c r="AC92" i="48"/>
  <c r="AC91" i="48"/>
  <c r="AC90" i="48"/>
  <c r="V90" i="48"/>
  <c r="AC89" i="48"/>
  <c r="AC88" i="48"/>
  <c r="AC87" i="48"/>
  <c r="AC86" i="48"/>
  <c r="AC85" i="48"/>
  <c r="AC84" i="48"/>
  <c r="AK83" i="48"/>
  <c r="AJ83" i="48"/>
  <c r="AI83" i="48"/>
  <c r="AH83" i="48"/>
  <c r="AG83" i="48"/>
  <c r="AF83" i="48"/>
  <c r="AE83" i="48"/>
  <c r="AD83" i="48"/>
  <c r="AC83" i="48"/>
  <c r="J83" i="48"/>
  <c r="I83" i="48"/>
  <c r="AC81" i="48"/>
  <c r="AC80" i="48"/>
  <c r="AC79" i="48"/>
  <c r="AC78" i="48"/>
  <c r="AC77" i="48"/>
  <c r="T77" i="48"/>
  <c r="AC76" i="48"/>
  <c r="AC75" i="48"/>
  <c r="X75" i="48"/>
  <c r="W75" i="48"/>
  <c r="V75" i="48"/>
  <c r="U75" i="48"/>
  <c r="T75" i="48"/>
  <c r="T78" i="48" s="1"/>
  <c r="S75" i="48"/>
  <c r="R75" i="48"/>
  <c r="Q75" i="48"/>
  <c r="AC74" i="48"/>
  <c r="AC73" i="48"/>
  <c r="AC72" i="48"/>
  <c r="K72" i="48"/>
  <c r="J72" i="48"/>
  <c r="J101" i="48" s="1"/>
  <c r="I72" i="48"/>
  <c r="I101" i="48" s="1"/>
  <c r="I130" i="48" s="1"/>
  <c r="H72" i="48"/>
  <c r="H101" i="48" s="1"/>
  <c r="G72" i="48"/>
  <c r="F72" i="48"/>
  <c r="E72" i="48"/>
  <c r="E123" i="48" s="1"/>
  <c r="D72" i="48"/>
  <c r="AC70" i="48"/>
  <c r="K71" i="46" s="1"/>
  <c r="AC69" i="48"/>
  <c r="AC68" i="48"/>
  <c r="X68" i="48"/>
  <c r="W68" i="48"/>
  <c r="V68" i="48"/>
  <c r="U68" i="48"/>
  <c r="T68" i="48"/>
  <c r="S68" i="48"/>
  <c r="R68" i="48"/>
  <c r="Q68" i="48"/>
  <c r="AC67" i="48"/>
  <c r="AC66" i="48"/>
  <c r="AC65" i="48"/>
  <c r="AC64" i="48"/>
  <c r="AC63" i="48"/>
  <c r="X63" i="48"/>
  <c r="W63" i="48"/>
  <c r="V63" i="48"/>
  <c r="U63" i="48"/>
  <c r="T63" i="48"/>
  <c r="S63" i="48"/>
  <c r="R63" i="48"/>
  <c r="Q63" i="48"/>
  <c r="AC62" i="48"/>
  <c r="AC61" i="48"/>
  <c r="C56" i="48"/>
  <c r="C55" i="48"/>
  <c r="C54" i="48"/>
  <c r="C53" i="48"/>
  <c r="C52" i="48"/>
  <c r="C51" i="48"/>
  <c r="AK45" i="48"/>
  <c r="AJ45" i="48"/>
  <c r="AI45" i="48"/>
  <c r="AH45" i="48"/>
  <c r="AG45" i="48"/>
  <c r="AF45" i="48"/>
  <c r="AE45" i="48"/>
  <c r="V45" i="48"/>
  <c r="U45" i="48"/>
  <c r="S45" i="48"/>
  <c r="R45" i="48"/>
  <c r="O45" i="48"/>
  <c r="Q45" i="48" s="1"/>
  <c r="W44" i="48"/>
  <c r="V44" i="48"/>
  <c r="T44" i="48"/>
  <c r="S44" i="48"/>
  <c r="Q44" i="48"/>
  <c r="O44" i="48"/>
  <c r="R44" i="48" s="1"/>
  <c r="U43" i="48"/>
  <c r="Q43" i="48"/>
  <c r="O43" i="48"/>
  <c r="AC41" i="48"/>
  <c r="AC40" i="48"/>
  <c r="AC39" i="48"/>
  <c r="AC38" i="48"/>
  <c r="AC37" i="48"/>
  <c r="AC36" i="48"/>
  <c r="AC35" i="48"/>
  <c r="AC34" i="48"/>
  <c r="AC32" i="48"/>
  <c r="AC31" i="48"/>
  <c r="B77" i="46" s="1"/>
  <c r="AC30" i="48"/>
  <c r="B76" i="46" s="1"/>
  <c r="AC29" i="48"/>
  <c r="AC28" i="48"/>
  <c r="AC27" i="48"/>
  <c r="AC26" i="48"/>
  <c r="AC25" i="48"/>
  <c r="AC23" i="48"/>
  <c r="J23" i="48"/>
  <c r="AC22" i="48"/>
  <c r="J22" i="48"/>
  <c r="AC21" i="48"/>
  <c r="J21" i="48"/>
  <c r="AC20" i="48"/>
  <c r="B66" i="46" s="1"/>
  <c r="J20" i="48"/>
  <c r="AC19" i="48"/>
  <c r="J19" i="48"/>
  <c r="AC18" i="48"/>
  <c r="B64" i="46" s="1"/>
  <c r="J18" i="48"/>
  <c r="AC17" i="48"/>
  <c r="X17" i="48"/>
  <c r="W17" i="48"/>
  <c r="V17" i="48"/>
  <c r="U17" i="48"/>
  <c r="T17" i="48"/>
  <c r="S17" i="48"/>
  <c r="R17" i="48"/>
  <c r="J17" i="48"/>
  <c r="AC16" i="48"/>
  <c r="J16" i="48"/>
  <c r="J15" i="48"/>
  <c r="R14" i="48"/>
  <c r="J14" i="48"/>
  <c r="R13" i="48"/>
  <c r="J13" i="48"/>
  <c r="J12" i="48"/>
  <c r="J11" i="48"/>
  <c r="V8" i="48"/>
  <c r="T8" i="48"/>
  <c r="S8" i="48"/>
  <c r="Q8" i="48"/>
  <c r="P8" i="48"/>
  <c r="O8" i="48"/>
  <c r="U7" i="48"/>
  <c r="U8" i="48" s="1"/>
  <c r="R6" i="48"/>
  <c r="R8" i="48" s="1"/>
  <c r="C6" i="48"/>
  <c r="AK3" i="48"/>
  <c r="AJ3" i="48"/>
  <c r="AI3" i="48"/>
  <c r="AH3" i="48"/>
  <c r="AG3" i="48"/>
  <c r="AF3" i="48"/>
  <c r="AE3" i="48"/>
  <c r="AD3" i="48"/>
  <c r="C3" i="48"/>
  <c r="X65" i="48" s="1"/>
  <c r="X66" i="48" s="1"/>
  <c r="G31" i="47"/>
  <c r="J2" i="47"/>
  <c r="J31" i="47" s="1"/>
  <c r="I2" i="47"/>
  <c r="I31" i="47" s="1"/>
  <c r="H2" i="47"/>
  <c r="H31" i="47" s="1"/>
  <c r="G2" i="47"/>
  <c r="F2" i="47"/>
  <c r="F31" i="47" s="1"/>
  <c r="E2" i="47"/>
  <c r="E31" i="47" s="1"/>
  <c r="D2" i="47"/>
  <c r="D31" i="47" s="1"/>
  <c r="C2" i="47"/>
  <c r="C31" i="47" s="1"/>
  <c r="K82" i="46"/>
  <c r="K81" i="46"/>
  <c r="K80" i="46"/>
  <c r="K79" i="46"/>
  <c r="K78" i="46"/>
  <c r="B78" i="46"/>
  <c r="K77" i="46"/>
  <c r="L76" i="46"/>
  <c r="K76" i="46"/>
  <c r="L75" i="46"/>
  <c r="K75" i="46"/>
  <c r="B75" i="46"/>
  <c r="L74" i="46"/>
  <c r="K74" i="46"/>
  <c r="B74" i="46"/>
  <c r="L73" i="46"/>
  <c r="K73" i="46"/>
  <c r="B73" i="46"/>
  <c r="B71" i="46"/>
  <c r="K70" i="46"/>
  <c r="K69" i="46"/>
  <c r="B69" i="46"/>
  <c r="K68" i="46"/>
  <c r="K67" i="46"/>
  <c r="B67" i="46"/>
  <c r="K66" i="46"/>
  <c r="K65" i="46"/>
  <c r="B65" i="46"/>
  <c r="K64" i="46"/>
  <c r="K63" i="46"/>
  <c r="B63" i="46"/>
  <c r="L62" i="46"/>
  <c r="K62" i="46"/>
  <c r="B54" i="46"/>
  <c r="B53" i="46"/>
  <c r="B52" i="46"/>
  <c r="B51" i="46"/>
  <c r="B50" i="46"/>
  <c r="B49" i="46"/>
  <c r="D48" i="46"/>
  <c r="B48" i="46"/>
  <c r="D47" i="46"/>
  <c r="B47" i="46"/>
  <c r="D46" i="46"/>
  <c r="B46" i="46"/>
  <c r="D45" i="46"/>
  <c r="C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K76" i="45"/>
  <c r="B76" i="45"/>
  <c r="L75" i="45"/>
  <c r="K75" i="45"/>
  <c r="B75" i="45"/>
  <c r="L74" i="45"/>
  <c r="K74" i="45"/>
  <c r="B74" i="45"/>
  <c r="L73" i="45"/>
  <c r="K73" i="45"/>
  <c r="B73" i="45"/>
  <c r="B72" i="45"/>
  <c r="K71" i="45"/>
  <c r="B71" i="45"/>
  <c r="K70" i="45"/>
  <c r="K69" i="45"/>
  <c r="B69" i="45"/>
  <c r="K68" i="45"/>
  <c r="K67" i="45"/>
  <c r="B67" i="45"/>
  <c r="K66" i="45"/>
  <c r="B66" i="45"/>
  <c r="K65" i="45"/>
  <c r="B65" i="45"/>
  <c r="K64" i="45"/>
  <c r="B64" i="45"/>
  <c r="K63" i="45"/>
  <c r="B63" i="45"/>
  <c r="L62" i="45"/>
  <c r="K62" i="45"/>
  <c r="B54" i="45"/>
  <c r="B53" i="45"/>
  <c r="B52" i="45"/>
  <c r="B51" i="45"/>
  <c r="B50" i="45"/>
  <c r="B49" i="45"/>
  <c r="D48" i="45"/>
  <c r="B48" i="45"/>
  <c r="D47" i="45"/>
  <c r="B47" i="45"/>
  <c r="D46" i="45"/>
  <c r="B46" i="45"/>
  <c r="D45"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D48" i="44" s="1"/>
  <c r="K76" i="44"/>
  <c r="B76" i="44"/>
  <c r="L75" i="44"/>
  <c r="K75" i="44"/>
  <c r="B75" i="44"/>
  <c r="L74" i="44"/>
  <c r="K74" i="44"/>
  <c r="B74" i="44"/>
  <c r="L73" i="44"/>
  <c r="K73" i="44"/>
  <c r="B73" i="44"/>
  <c r="K71" i="44"/>
  <c r="B71" i="44"/>
  <c r="K70" i="44"/>
  <c r="K69" i="44"/>
  <c r="B69" i="44"/>
  <c r="K68" i="44"/>
  <c r="K67" i="44"/>
  <c r="B67" i="44"/>
  <c r="K66" i="44"/>
  <c r="B66" i="44"/>
  <c r="K65" i="44"/>
  <c r="B65" i="44"/>
  <c r="K64" i="44"/>
  <c r="B64" i="44"/>
  <c r="K63" i="44"/>
  <c r="B63" i="44"/>
  <c r="L62" i="44"/>
  <c r="K62" i="44"/>
  <c r="B62" i="44"/>
  <c r="B54" i="44"/>
  <c r="B53" i="44"/>
  <c r="B52" i="44"/>
  <c r="B51" i="44"/>
  <c r="B50" i="44"/>
  <c r="B49" i="44"/>
  <c r="B48" i="44"/>
  <c r="D47" i="44"/>
  <c r="B47" i="44"/>
  <c r="D46" i="44"/>
  <c r="B46" i="44"/>
  <c r="E45" i="44"/>
  <c r="D45" i="44"/>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K76" i="43"/>
  <c r="B76" i="43"/>
  <c r="L75" i="43"/>
  <c r="K75" i="43"/>
  <c r="B75" i="43"/>
  <c r="L74" i="43"/>
  <c r="K74" i="43"/>
  <c r="B74" i="43"/>
  <c r="L73" i="43"/>
  <c r="K73" i="43"/>
  <c r="B73" i="43"/>
  <c r="B72" i="43"/>
  <c r="K71" i="43"/>
  <c r="B71" i="43"/>
  <c r="K70" i="43"/>
  <c r="K69" i="43"/>
  <c r="B69" i="43"/>
  <c r="K68" i="43"/>
  <c r="K67" i="43"/>
  <c r="B67" i="43"/>
  <c r="K66" i="43"/>
  <c r="B66" i="43"/>
  <c r="K65" i="43"/>
  <c r="B65" i="43"/>
  <c r="K64" i="43"/>
  <c r="B64" i="43"/>
  <c r="K63" i="43"/>
  <c r="B63" i="43"/>
  <c r="L62" i="43"/>
  <c r="K62" i="43"/>
  <c r="B62" i="43"/>
  <c r="B54" i="43"/>
  <c r="B53" i="43"/>
  <c r="B52" i="43"/>
  <c r="B51" i="43"/>
  <c r="B50" i="43"/>
  <c r="B49" i="43"/>
  <c r="D48" i="43"/>
  <c r="B48" i="43"/>
  <c r="D47" i="43"/>
  <c r="B47" i="43"/>
  <c r="D46" i="43"/>
  <c r="B46" i="43"/>
  <c r="D45" i="43"/>
  <c r="C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K75" i="42"/>
  <c r="B75" i="42"/>
  <c r="L74" i="42"/>
  <c r="K74" i="42"/>
  <c r="B74" i="42"/>
  <c r="L73" i="42"/>
  <c r="K73" i="42"/>
  <c r="B73" i="42"/>
  <c r="B72" i="42"/>
  <c r="K71" i="42"/>
  <c r="B71" i="42"/>
  <c r="K70" i="42"/>
  <c r="K69" i="42"/>
  <c r="B69" i="42"/>
  <c r="K68" i="42"/>
  <c r="K67" i="42"/>
  <c r="B67" i="42"/>
  <c r="K66" i="42"/>
  <c r="B66" i="42"/>
  <c r="K65" i="42"/>
  <c r="B65" i="42"/>
  <c r="K64" i="42"/>
  <c r="B64" i="42"/>
  <c r="K63" i="42"/>
  <c r="B63" i="42"/>
  <c r="L62" i="42"/>
  <c r="K62" i="42"/>
  <c r="B54" i="42"/>
  <c r="B53" i="42"/>
  <c r="B52" i="42"/>
  <c r="B51" i="42"/>
  <c r="B50" i="42"/>
  <c r="B49" i="42"/>
  <c r="D48" i="42"/>
  <c r="B48" i="42"/>
  <c r="D47" i="42"/>
  <c r="B47" i="42"/>
  <c r="D46" i="42"/>
  <c r="B46" i="42"/>
  <c r="D45"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K75" i="41"/>
  <c r="B75" i="41"/>
  <c r="L74" i="41"/>
  <c r="K74" i="41"/>
  <c r="B74" i="41"/>
  <c r="L73" i="41"/>
  <c r="K73" i="41"/>
  <c r="B73" i="41"/>
  <c r="B72" i="41"/>
  <c r="K71" i="41"/>
  <c r="B71" i="41"/>
  <c r="K70" i="41"/>
  <c r="K69" i="41"/>
  <c r="B69" i="41"/>
  <c r="K68" i="41"/>
  <c r="K67" i="41"/>
  <c r="B67" i="41"/>
  <c r="K66" i="41"/>
  <c r="B66" i="41"/>
  <c r="K65" i="41"/>
  <c r="B65" i="41"/>
  <c r="K64" i="41"/>
  <c r="B64" i="41"/>
  <c r="K63" i="41"/>
  <c r="B63" i="41"/>
  <c r="L62" i="41"/>
  <c r="K62" i="41"/>
  <c r="B62" i="41"/>
  <c r="B54" i="41"/>
  <c r="B53" i="41"/>
  <c r="B52" i="41"/>
  <c r="B51" i="41"/>
  <c r="B50" i="41"/>
  <c r="B49" i="41"/>
  <c r="D48" i="41"/>
  <c r="B48" i="41"/>
  <c r="D47" i="41"/>
  <c r="B47" i="41"/>
  <c r="D46" i="41"/>
  <c r="B46" i="41"/>
  <c r="D45" i="41"/>
  <c r="C45" i="41"/>
  <c r="E45" i="41" s="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D47" i="40" s="1"/>
  <c r="K75" i="40"/>
  <c r="B75" i="40"/>
  <c r="L74" i="40"/>
  <c r="K74" i="40"/>
  <c r="B74" i="40"/>
  <c r="L73" i="40"/>
  <c r="D45" i="40" s="1"/>
  <c r="K73" i="40"/>
  <c r="B73" i="40"/>
  <c r="B72" i="40"/>
  <c r="K71" i="40"/>
  <c r="B71" i="40"/>
  <c r="K70" i="40"/>
  <c r="K69" i="40"/>
  <c r="B69" i="40"/>
  <c r="K68" i="40"/>
  <c r="K67" i="40"/>
  <c r="B67" i="40"/>
  <c r="K66" i="40"/>
  <c r="B66" i="40"/>
  <c r="K65" i="40"/>
  <c r="B65" i="40"/>
  <c r="K64" i="40"/>
  <c r="B64" i="40"/>
  <c r="K63" i="40"/>
  <c r="B63" i="40"/>
  <c r="L62" i="40"/>
  <c r="K62" i="40"/>
  <c r="B62" i="40"/>
  <c r="B54" i="40"/>
  <c r="B53" i="40"/>
  <c r="B52" i="40"/>
  <c r="B51" i="40"/>
  <c r="B50" i="40"/>
  <c r="B49" i="40"/>
  <c r="D48" i="40"/>
  <c r="B48" i="40"/>
  <c r="B47" i="40"/>
  <c r="D46" i="40"/>
  <c r="B46"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K76" i="39"/>
  <c r="B76" i="39"/>
  <c r="L75" i="39"/>
  <c r="D47" i="39" s="1"/>
  <c r="K75" i="39"/>
  <c r="B75" i="39"/>
  <c r="L74" i="39"/>
  <c r="K74" i="39"/>
  <c r="B74" i="39"/>
  <c r="L73" i="39"/>
  <c r="D45" i="39" s="1"/>
  <c r="E45" i="39" s="1"/>
  <c r="K73" i="39"/>
  <c r="B73" i="39"/>
  <c r="B72" i="39"/>
  <c r="K71" i="39"/>
  <c r="B71" i="39"/>
  <c r="K70" i="39"/>
  <c r="K69" i="39"/>
  <c r="B69" i="39"/>
  <c r="K68" i="39"/>
  <c r="B68" i="39"/>
  <c r="K67" i="39"/>
  <c r="B67" i="39"/>
  <c r="K66" i="39"/>
  <c r="B66" i="39"/>
  <c r="K65" i="39"/>
  <c r="B65" i="39"/>
  <c r="K64" i="39"/>
  <c r="B64" i="39"/>
  <c r="K63" i="39"/>
  <c r="B63" i="39"/>
  <c r="L62" i="39"/>
  <c r="C45" i="39" s="1"/>
  <c r="K62" i="39"/>
  <c r="B62" i="39"/>
  <c r="B54" i="39"/>
  <c r="B53" i="39"/>
  <c r="B52" i="39"/>
  <c r="B51" i="39"/>
  <c r="B50" i="39"/>
  <c r="B49" i="39"/>
  <c r="D48" i="39"/>
  <c r="B48" i="39"/>
  <c r="B47" i="39"/>
  <c r="D46" i="39"/>
  <c r="B46"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S32" i="37"/>
  <c r="M32" i="37"/>
  <c r="L32" i="37"/>
  <c r="K32" i="37"/>
  <c r="J32" i="37"/>
  <c r="I32" i="37"/>
  <c r="H32" i="37"/>
  <c r="G32" i="37"/>
  <c r="E32" i="37"/>
  <c r="S31" i="37"/>
  <c r="S30" i="37"/>
  <c r="S29" i="37"/>
  <c r="D48" i="36"/>
  <c r="C48" i="36"/>
  <c r="J26" i="36"/>
  <c r="J24" i="36"/>
  <c r="U33" i="37" s="1"/>
  <c r="D19" i="36"/>
  <c r="E48" i="36" l="1"/>
  <c r="C48" i="48"/>
  <c r="C59" i="48"/>
  <c r="T33" i="37"/>
  <c r="U34" i="37"/>
  <c r="U29" i="37"/>
  <c r="U30" i="37"/>
  <c r="T32" i="37"/>
  <c r="U32" i="37"/>
  <c r="U35" i="37"/>
  <c r="T35" i="37"/>
  <c r="T30" i="37"/>
  <c r="U31" i="37"/>
  <c r="C45" i="40"/>
  <c r="E45" i="40"/>
  <c r="B68" i="46"/>
  <c r="B68" i="42"/>
  <c r="B68" i="45"/>
  <c r="B72" i="44"/>
  <c r="B72" i="46"/>
  <c r="Q130" i="48"/>
  <c r="Q80" i="48"/>
  <c r="C62" i="48"/>
  <c r="B68" i="41"/>
  <c r="E45" i="43"/>
  <c r="B68" i="44"/>
  <c r="D44" i="48"/>
  <c r="T31" i="37"/>
  <c r="C45" i="42"/>
  <c r="E45" i="42" s="1"/>
  <c r="C67" i="48"/>
  <c r="S66" i="48"/>
  <c r="I176" i="48"/>
  <c r="I181" i="48"/>
  <c r="I159" i="48"/>
  <c r="T29" i="37"/>
  <c r="T34" i="37"/>
  <c r="B68" i="40"/>
  <c r="B68" i="43"/>
  <c r="B62" i="46"/>
  <c r="B62" i="45"/>
  <c r="B62" i="42"/>
  <c r="F152" i="48"/>
  <c r="F130" i="48"/>
  <c r="F147" i="48"/>
  <c r="E45" i="46"/>
  <c r="X43" i="48"/>
  <c r="S77" i="48"/>
  <c r="S78" i="48" s="1"/>
  <c r="C45" i="45"/>
  <c r="D123" i="48"/>
  <c r="D118" i="48"/>
  <c r="D101" i="48"/>
  <c r="D83" i="48"/>
  <c r="AD45" i="48"/>
  <c r="Q17" i="48"/>
  <c r="X138" i="48"/>
  <c r="W138" i="48"/>
  <c r="U138" i="48"/>
  <c r="T138" i="48"/>
  <c r="Q138" i="48"/>
  <c r="V105" i="48"/>
  <c r="Q90" i="48"/>
  <c r="T105" i="48"/>
  <c r="W90" i="48"/>
  <c r="R138" i="48"/>
  <c r="Q105" i="48"/>
  <c r="T90" i="48"/>
  <c r="X105" i="48"/>
  <c r="S90" i="48"/>
  <c r="S105" i="48"/>
  <c r="R90" i="48"/>
  <c r="R77" i="48"/>
  <c r="R78" i="48" s="1"/>
  <c r="W65" i="48"/>
  <c r="W66" i="48" s="1"/>
  <c r="R105" i="48"/>
  <c r="Q77" i="48"/>
  <c r="V65" i="48"/>
  <c r="V66" i="48" s="1"/>
  <c r="X77" i="48"/>
  <c r="U65" i="48"/>
  <c r="W77" i="48"/>
  <c r="W78" i="48" s="1"/>
  <c r="T65" i="48"/>
  <c r="T66" i="48" s="1"/>
  <c r="S138" i="48"/>
  <c r="X90" i="48"/>
  <c r="U77" i="48"/>
  <c r="U78" i="48" s="1"/>
  <c r="R65" i="48"/>
  <c r="R66" i="48" s="1"/>
  <c r="U90" i="48"/>
  <c r="S65" i="48"/>
  <c r="W105" i="48"/>
  <c r="Q65" i="48"/>
  <c r="V138" i="48"/>
  <c r="U105" i="48"/>
  <c r="V77" i="48"/>
  <c r="V78" i="48" s="1"/>
  <c r="Q78" i="48"/>
  <c r="T43" i="48"/>
  <c r="S43" i="48"/>
  <c r="R43" i="48"/>
  <c r="W43" i="48"/>
  <c r="V43" i="48"/>
  <c r="J152" i="48"/>
  <c r="J147" i="48"/>
  <c r="J130" i="48"/>
  <c r="U44" i="48"/>
  <c r="U130" i="48" s="1"/>
  <c r="T45" i="48"/>
  <c r="U66" i="48"/>
  <c r="K123" i="48"/>
  <c r="K118" i="48"/>
  <c r="K83" i="48"/>
  <c r="K101" i="48"/>
  <c r="X44" i="48"/>
  <c r="W45" i="48"/>
  <c r="F118" i="48"/>
  <c r="F123" i="48"/>
  <c r="F83" i="48"/>
  <c r="X45" i="48"/>
  <c r="Q66" i="48"/>
  <c r="C68" i="48"/>
  <c r="C63" i="48"/>
  <c r="K64" i="36" s="1"/>
  <c r="H152" i="48"/>
  <c r="H147" i="48"/>
  <c r="H130" i="48"/>
  <c r="X78" i="48"/>
  <c r="E101" i="48"/>
  <c r="G123" i="48"/>
  <c r="G118" i="48"/>
  <c r="G101" i="48"/>
  <c r="E83" i="48"/>
  <c r="H123" i="48"/>
  <c r="H118" i="48"/>
  <c r="I152" i="48"/>
  <c r="I147" i="48"/>
  <c r="G83" i="48"/>
  <c r="I123" i="48"/>
  <c r="J123" i="48"/>
  <c r="J118" i="48"/>
  <c r="H83" i="48"/>
  <c r="F38" i="19"/>
  <c r="H38" i="19"/>
  <c r="L38" i="19" s="1"/>
  <c r="F28" i="4"/>
  <c r="V32" i="20"/>
  <c r="R32" i="20"/>
  <c r="N32" i="20"/>
  <c r="J32" i="20"/>
  <c r="F32" i="20"/>
  <c r="D32" i="20"/>
  <c r="C133" i="22"/>
  <c r="J38" i="19" l="1"/>
  <c r="K62" i="36"/>
  <c r="V35" i="37"/>
  <c r="V30" i="37"/>
  <c r="D152" i="48"/>
  <c r="D147" i="48"/>
  <c r="D130" i="48"/>
  <c r="C64" i="48"/>
  <c r="K65" i="36" s="1"/>
  <c r="K63" i="36"/>
  <c r="H181" i="48"/>
  <c r="H176" i="48"/>
  <c r="H159" i="48"/>
  <c r="F176" i="48"/>
  <c r="F181" i="48"/>
  <c r="F159" i="48"/>
  <c r="D58" i="48"/>
  <c r="D57" i="48"/>
  <c r="D56" i="48"/>
  <c r="D53" i="48"/>
  <c r="D49" i="48"/>
  <c r="D51" i="48"/>
  <c r="D47" i="48"/>
  <c r="D54" i="48"/>
  <c r="D46" i="48"/>
  <c r="D55" i="48"/>
  <c r="D50" i="48"/>
  <c r="D52" i="48"/>
  <c r="D48" i="48"/>
  <c r="K152" i="48"/>
  <c r="K147" i="48"/>
  <c r="K130" i="48"/>
  <c r="G152" i="48"/>
  <c r="G147" i="48"/>
  <c r="G130" i="48"/>
  <c r="E45" i="45"/>
  <c r="U80" i="48"/>
  <c r="X130" i="48"/>
  <c r="W130" i="48"/>
  <c r="V130" i="48"/>
  <c r="W80" i="48"/>
  <c r="V80" i="48"/>
  <c r="X80" i="48"/>
  <c r="T130" i="48"/>
  <c r="R130" i="48"/>
  <c r="S130" i="48"/>
  <c r="T80" i="48"/>
  <c r="R80" i="48"/>
  <c r="S80" i="48"/>
  <c r="E152" i="48"/>
  <c r="E130" i="48"/>
  <c r="E147" i="48"/>
  <c r="J181" i="48"/>
  <c r="J176" i="48"/>
  <c r="J159" i="48"/>
  <c r="N38" i="19"/>
  <c r="P38" i="19"/>
  <c r="C6" i="22"/>
  <c r="U43" i="19"/>
  <c r="U41" i="19"/>
  <c r="U32" i="19"/>
  <c r="U31" i="19"/>
  <c r="Q43" i="19"/>
  <c r="Q41" i="19"/>
  <c r="Q32" i="19"/>
  <c r="Q31" i="19"/>
  <c r="M43" i="19"/>
  <c r="M41" i="19"/>
  <c r="M32" i="19"/>
  <c r="M31" i="19"/>
  <c r="I43" i="19"/>
  <c r="I41" i="19"/>
  <c r="I32" i="19"/>
  <c r="I31" i="19"/>
  <c r="J44" i="19"/>
  <c r="N44" i="19" s="1"/>
  <c r="R44" i="19" s="1"/>
  <c r="V44" i="19" s="1"/>
  <c r="H49" i="19"/>
  <c r="L49" i="19" s="1"/>
  <c r="F49" i="19"/>
  <c r="E49" i="19" s="1"/>
  <c r="E159" i="48" l="1"/>
  <c r="E181" i="48"/>
  <c r="E176" i="48"/>
  <c r="K181" i="48"/>
  <c r="K176" i="48"/>
  <c r="K159" i="48"/>
  <c r="J92" i="48"/>
  <c r="H92" i="48"/>
  <c r="E92" i="48"/>
  <c r="D92" i="48"/>
  <c r="I92" i="48"/>
  <c r="G92" i="48"/>
  <c r="F92" i="48"/>
  <c r="K92" i="48"/>
  <c r="H84" i="48"/>
  <c r="I73" i="48"/>
  <c r="I84" i="48" s="1"/>
  <c r="H73" i="48"/>
  <c r="G73" i="48"/>
  <c r="G84" i="48" s="1"/>
  <c r="F73" i="48"/>
  <c r="D73" i="48"/>
  <c r="D84" i="48" s="1"/>
  <c r="E73" i="48"/>
  <c r="E84" i="48" s="1"/>
  <c r="K73" i="48"/>
  <c r="J73" i="48"/>
  <c r="J84" i="48" s="1"/>
  <c r="D59" i="48"/>
  <c r="I95" i="48"/>
  <c r="G95" i="48"/>
  <c r="D95" i="48"/>
  <c r="K95" i="48"/>
  <c r="J95" i="48"/>
  <c r="H95" i="48"/>
  <c r="E95" i="48"/>
  <c r="F95" i="48"/>
  <c r="G75" i="48"/>
  <c r="AG7" i="48" s="1"/>
  <c r="F75" i="48"/>
  <c r="AF7" i="48" s="1"/>
  <c r="E75" i="48"/>
  <c r="AE7" i="48" s="1"/>
  <c r="D75" i="48"/>
  <c r="AD7" i="48" s="1"/>
  <c r="J75" i="48"/>
  <c r="AJ7" i="48" s="1"/>
  <c r="K75" i="48"/>
  <c r="AK7" i="48" s="1"/>
  <c r="I75" i="48"/>
  <c r="AI7" i="48" s="1"/>
  <c r="H75" i="48"/>
  <c r="AH7" i="48" s="1"/>
  <c r="I96" i="48"/>
  <c r="G96" i="48"/>
  <c r="D96" i="48"/>
  <c r="K96" i="48"/>
  <c r="J96" i="48"/>
  <c r="H96" i="48"/>
  <c r="E96" i="48"/>
  <c r="F96" i="48"/>
  <c r="D181" i="48"/>
  <c r="D176" i="48"/>
  <c r="D159" i="48"/>
  <c r="I93" i="48"/>
  <c r="G93" i="48"/>
  <c r="D93" i="48"/>
  <c r="K93" i="48"/>
  <c r="J93" i="48"/>
  <c r="H93" i="48"/>
  <c r="E93" i="48"/>
  <c r="F93" i="48"/>
  <c r="H74" i="48"/>
  <c r="AH6" i="48" s="1"/>
  <c r="G74" i="48"/>
  <c r="AG6" i="48" s="1"/>
  <c r="F74" i="48"/>
  <c r="AF6" i="48" s="1"/>
  <c r="E74" i="48"/>
  <c r="AE6" i="48" s="1"/>
  <c r="K74" i="48"/>
  <c r="AK6" i="48" s="1"/>
  <c r="I74" i="48"/>
  <c r="AI6" i="48" s="1"/>
  <c r="D74" i="48"/>
  <c r="AD6" i="48" s="1"/>
  <c r="J74" i="48"/>
  <c r="AJ6" i="48" s="1"/>
  <c r="K79" i="48"/>
  <c r="AK11" i="48" s="1"/>
  <c r="K90" i="48"/>
  <c r="J79" i="48"/>
  <c r="AJ11" i="48" s="1"/>
  <c r="I79" i="48"/>
  <c r="AI11" i="48" s="1"/>
  <c r="H79" i="48"/>
  <c r="AH11" i="48" s="1"/>
  <c r="F79" i="48"/>
  <c r="AF11" i="48" s="1"/>
  <c r="G79" i="48"/>
  <c r="AG11" i="48" s="1"/>
  <c r="E79" i="48"/>
  <c r="AE11" i="48" s="1"/>
  <c r="D79" i="48"/>
  <c r="AD11" i="48" s="1"/>
  <c r="F76" i="48"/>
  <c r="AF8" i="48" s="1"/>
  <c r="E76" i="48"/>
  <c r="AE8" i="48" s="1"/>
  <c r="D76" i="48"/>
  <c r="AD8" i="48" s="1"/>
  <c r="D87" i="48"/>
  <c r="K76" i="48"/>
  <c r="AK8" i="48" s="1"/>
  <c r="I76" i="48"/>
  <c r="AI8" i="48" s="1"/>
  <c r="H76" i="48"/>
  <c r="AH8" i="48" s="1"/>
  <c r="G76" i="48"/>
  <c r="AG8" i="48" s="1"/>
  <c r="J76" i="48"/>
  <c r="AJ8" i="48" s="1"/>
  <c r="I94" i="48"/>
  <c r="G94" i="48"/>
  <c r="D94" i="48"/>
  <c r="K94" i="48"/>
  <c r="J94" i="48"/>
  <c r="H94" i="48"/>
  <c r="E94" i="48"/>
  <c r="F94" i="48"/>
  <c r="D78" i="48"/>
  <c r="AD10" i="48" s="1"/>
  <c r="K78" i="48"/>
  <c r="AK10" i="48" s="1"/>
  <c r="J78" i="48"/>
  <c r="AJ10" i="48" s="1"/>
  <c r="I78" i="48"/>
  <c r="AI10" i="48" s="1"/>
  <c r="G78" i="48"/>
  <c r="AG10" i="48" s="1"/>
  <c r="E78" i="48"/>
  <c r="AE10" i="48" s="1"/>
  <c r="H78" i="48"/>
  <c r="AH10" i="48" s="1"/>
  <c r="F78" i="48"/>
  <c r="AF10" i="48" s="1"/>
  <c r="G181" i="48"/>
  <c r="G176" i="48"/>
  <c r="G159" i="48"/>
  <c r="E77" i="48"/>
  <c r="AE9" i="48" s="1"/>
  <c r="D77" i="48"/>
  <c r="AD9" i="48" s="1"/>
  <c r="K77" i="48"/>
  <c r="AK9" i="48" s="1"/>
  <c r="K88" i="48"/>
  <c r="J77" i="48"/>
  <c r="AJ9" i="48" s="1"/>
  <c r="H77" i="48"/>
  <c r="AH9" i="48" s="1"/>
  <c r="I77" i="48"/>
  <c r="AI9" i="48" s="1"/>
  <c r="G77" i="48"/>
  <c r="AG9" i="48" s="1"/>
  <c r="F77" i="48"/>
  <c r="AF9" i="48" s="1"/>
  <c r="J80" i="48"/>
  <c r="AJ12" i="48" s="1"/>
  <c r="I80" i="48"/>
  <c r="AI12" i="48" s="1"/>
  <c r="H80" i="48"/>
  <c r="AH12" i="48" s="1"/>
  <c r="G80" i="48"/>
  <c r="AG12" i="48" s="1"/>
  <c r="E80" i="48"/>
  <c r="AE12" i="48" s="1"/>
  <c r="K80" i="48"/>
  <c r="AK12" i="48" s="1"/>
  <c r="F80" i="48"/>
  <c r="AF12" i="48" s="1"/>
  <c r="D80" i="48"/>
  <c r="AD12" i="48" s="1"/>
  <c r="J91" i="48"/>
  <c r="R38" i="19"/>
  <c r="T38" i="19"/>
  <c r="V38" i="19" s="1"/>
  <c r="P49" i="19"/>
  <c r="N49" i="19"/>
  <c r="M49" i="19" s="1"/>
  <c r="J49" i="19"/>
  <c r="I49" i="19" s="1"/>
  <c r="E87" i="48" l="1"/>
  <c r="G87" i="48"/>
  <c r="D88" i="48"/>
  <c r="G88" i="48"/>
  <c r="F91" i="48"/>
  <c r="J87" i="48"/>
  <c r="E85" i="48"/>
  <c r="J86" i="48"/>
  <c r="H86" i="48"/>
  <c r="H89" i="48"/>
  <c r="J90" i="48"/>
  <c r="E86" i="48"/>
  <c r="I91" i="48"/>
  <c r="E90" i="48"/>
  <c r="I88" i="48"/>
  <c r="F89" i="48"/>
  <c r="K87" i="48"/>
  <c r="AE30" i="48"/>
  <c r="C76" i="40" s="1"/>
  <c r="D39" i="40" s="1"/>
  <c r="AE21" i="48"/>
  <c r="D12" i="47"/>
  <c r="C12" i="40"/>
  <c r="N16" i="40" s="1"/>
  <c r="AG31" i="48"/>
  <c r="C77" i="42" s="1"/>
  <c r="D40" i="42" s="1"/>
  <c r="F13" i="47"/>
  <c r="C13" i="42"/>
  <c r="N17" i="42" s="1"/>
  <c r="AG22" i="48"/>
  <c r="C13" i="41"/>
  <c r="N17" i="41" s="1"/>
  <c r="H10" i="47"/>
  <c r="AI28" i="48"/>
  <c r="C74" i="44" s="1"/>
  <c r="D37" i="44" s="1"/>
  <c r="C10" i="44"/>
  <c r="N14" i="44" s="1"/>
  <c r="AI19" i="48"/>
  <c r="J13" i="47"/>
  <c r="AK31" i="48"/>
  <c r="C77" i="46" s="1"/>
  <c r="D40" i="46" s="1"/>
  <c r="AK22" i="48"/>
  <c r="H8" i="47"/>
  <c r="AI26" i="48"/>
  <c r="C72" i="44" s="1"/>
  <c r="D35" i="44" s="1"/>
  <c r="AI17" i="48"/>
  <c r="C8" i="44"/>
  <c r="N12" i="44" s="1"/>
  <c r="AH26" i="48"/>
  <c r="C72" i="43" s="1"/>
  <c r="D35" i="43" s="1"/>
  <c r="G8" i="47"/>
  <c r="C8" i="43"/>
  <c r="N12" i="43" s="1"/>
  <c r="AH17" i="48"/>
  <c r="AE27" i="48"/>
  <c r="C73" i="40" s="1"/>
  <c r="D36" i="40" s="1"/>
  <c r="AE18" i="48"/>
  <c r="D9" i="47"/>
  <c r="C9" i="40"/>
  <c r="N13" i="40" s="1"/>
  <c r="F81" i="48"/>
  <c r="F97" i="48" s="1"/>
  <c r="F114" i="48" s="1"/>
  <c r="AF5" i="48"/>
  <c r="H91" i="48"/>
  <c r="K91" i="48"/>
  <c r="AJ29" i="48"/>
  <c r="C75" i="45" s="1"/>
  <c r="D38" i="45" s="1"/>
  <c r="I11" i="47"/>
  <c r="C11" i="46"/>
  <c r="N15" i="46" s="1"/>
  <c r="C11" i="45"/>
  <c r="N15" i="45" s="1"/>
  <c r="AJ20" i="48"/>
  <c r="F88" i="48"/>
  <c r="AG21" i="48"/>
  <c r="AG30" i="48"/>
  <c r="C76" i="42" s="1"/>
  <c r="D39" i="42" s="1"/>
  <c r="F12" i="47"/>
  <c r="C12" i="41"/>
  <c r="N16" i="41" s="1"/>
  <c r="C12" i="42"/>
  <c r="N16" i="42" s="1"/>
  <c r="G89" i="48"/>
  <c r="J10" i="47"/>
  <c r="AK28" i="48"/>
  <c r="C74" i="46" s="1"/>
  <c r="D37" i="46" s="1"/>
  <c r="AK19" i="48"/>
  <c r="I87" i="48"/>
  <c r="E13" i="47"/>
  <c r="AF22" i="48"/>
  <c r="AF31" i="48"/>
  <c r="C77" i="41" s="1"/>
  <c r="D40" i="41" s="1"/>
  <c r="F90" i="48"/>
  <c r="J8" i="47"/>
  <c r="AK17" i="48"/>
  <c r="AK26" i="48"/>
  <c r="C72" i="46" s="1"/>
  <c r="D35" i="46" s="1"/>
  <c r="K85" i="48"/>
  <c r="G86" i="48"/>
  <c r="E9" i="47"/>
  <c r="AF27" i="48"/>
  <c r="C73" i="41" s="1"/>
  <c r="D36" i="41" s="1"/>
  <c r="AF18" i="48"/>
  <c r="AH20" i="48"/>
  <c r="AH29" i="48"/>
  <c r="C75" i="43" s="1"/>
  <c r="D38" i="43" s="1"/>
  <c r="C11" i="43"/>
  <c r="N15" i="43" s="1"/>
  <c r="G11" i="47"/>
  <c r="AG32" i="48"/>
  <c r="C78" i="42" s="1"/>
  <c r="D41" i="42" s="1"/>
  <c r="AG23" i="48"/>
  <c r="C14" i="42"/>
  <c r="N18" i="42" s="1"/>
  <c r="C14" i="41"/>
  <c r="N18" i="41" s="1"/>
  <c r="F14" i="47"/>
  <c r="AJ5" i="48"/>
  <c r="J81" i="48"/>
  <c r="J97" i="48" s="1"/>
  <c r="J108" i="48" s="1"/>
  <c r="J166" i="48" s="1"/>
  <c r="AE26" i="48"/>
  <c r="C72" i="40" s="1"/>
  <c r="D35" i="40" s="1"/>
  <c r="D8" i="47"/>
  <c r="C8" i="40"/>
  <c r="N12" i="40" s="1"/>
  <c r="AE17" i="48"/>
  <c r="G85" i="48"/>
  <c r="AI18" i="48"/>
  <c r="H9" i="47"/>
  <c r="AI27" i="48"/>
  <c r="C73" i="44" s="1"/>
  <c r="D36" i="44" s="1"/>
  <c r="C9" i="44"/>
  <c r="N13" i="44" s="1"/>
  <c r="D86" i="48"/>
  <c r="K81" i="48"/>
  <c r="K97" i="48" s="1"/>
  <c r="K110" i="48" s="1"/>
  <c r="AK5" i="48"/>
  <c r="AH19" i="48"/>
  <c r="AH28" i="48"/>
  <c r="C74" i="43" s="1"/>
  <c r="D37" i="43" s="1"/>
  <c r="G10" i="47"/>
  <c r="C10" i="43"/>
  <c r="N14" i="43" s="1"/>
  <c r="AG17" i="48"/>
  <c r="AG26" i="48"/>
  <c r="C72" i="42" s="1"/>
  <c r="D35" i="42" s="1"/>
  <c r="F8" i="47"/>
  <c r="C8" i="41"/>
  <c r="N12" i="41" s="1"/>
  <c r="C8" i="42"/>
  <c r="N12" i="42" s="1"/>
  <c r="AE32" i="48"/>
  <c r="C78" i="40" s="1"/>
  <c r="D41" i="40" s="1"/>
  <c r="D14" i="47"/>
  <c r="AE23" i="48"/>
  <c r="C14" i="40"/>
  <c r="N18" i="40" s="1"/>
  <c r="G91" i="48"/>
  <c r="AH18" i="48"/>
  <c r="AH27" i="48"/>
  <c r="C73" i="43" s="1"/>
  <c r="D36" i="43" s="1"/>
  <c r="C9" i="43"/>
  <c r="N13" i="43" s="1"/>
  <c r="G9" i="47"/>
  <c r="F110" i="48"/>
  <c r="F11" i="47"/>
  <c r="AG29" i="48"/>
  <c r="C75" i="42" s="1"/>
  <c r="D38" i="42" s="1"/>
  <c r="C11" i="42"/>
  <c r="N15" i="42" s="1"/>
  <c r="C11" i="41"/>
  <c r="N15" i="41" s="1"/>
  <c r="AG20" i="48"/>
  <c r="K89" i="48"/>
  <c r="H14" i="47"/>
  <c r="C14" i="44"/>
  <c r="N18" i="44" s="1"/>
  <c r="AI23" i="48"/>
  <c r="AI32" i="48"/>
  <c r="C78" i="44" s="1"/>
  <c r="D41" i="44" s="1"/>
  <c r="AD20" i="48"/>
  <c r="C11" i="47"/>
  <c r="AD29" i="48"/>
  <c r="C75" i="39" s="1"/>
  <c r="D38" i="39" s="1"/>
  <c r="C11" i="39"/>
  <c r="N15" i="39" s="1"/>
  <c r="I89" i="48"/>
  <c r="E89" i="48"/>
  <c r="F87" i="48"/>
  <c r="AI31" i="48"/>
  <c r="C77" i="44" s="1"/>
  <c r="D40" i="44" s="1"/>
  <c r="AI22" i="48"/>
  <c r="H13" i="47"/>
  <c r="C13" i="44"/>
  <c r="N17" i="44" s="1"/>
  <c r="D90" i="48"/>
  <c r="H85" i="48"/>
  <c r="I85" i="48"/>
  <c r="K114" i="48"/>
  <c r="J9" i="47"/>
  <c r="AK27" i="48"/>
  <c r="C73" i="46" s="1"/>
  <c r="D36" i="46" s="1"/>
  <c r="AK18" i="48"/>
  <c r="F84" i="48"/>
  <c r="H81" i="48"/>
  <c r="H97" i="48" s="1"/>
  <c r="H110" i="48" s="1"/>
  <c r="AH5" i="48"/>
  <c r="I110" i="48"/>
  <c r="H112" i="48"/>
  <c r="AF20" i="48"/>
  <c r="AF29" i="48"/>
  <c r="C75" i="41" s="1"/>
  <c r="D38" i="41" s="1"/>
  <c r="E11" i="47"/>
  <c r="AH31" i="48"/>
  <c r="C77" i="43" s="1"/>
  <c r="D40" i="43" s="1"/>
  <c r="AH22" i="48"/>
  <c r="G13" i="47"/>
  <c r="C13" i="43"/>
  <c r="N17" i="43" s="1"/>
  <c r="AK29" i="48"/>
  <c r="C75" i="46" s="1"/>
  <c r="D38" i="46" s="1"/>
  <c r="J11" i="47"/>
  <c r="AK20" i="48"/>
  <c r="AD28" i="48"/>
  <c r="C74" i="39" s="1"/>
  <c r="D37" i="39" s="1"/>
  <c r="C10" i="39"/>
  <c r="N14" i="39" s="1"/>
  <c r="C10" i="47"/>
  <c r="AD19" i="48"/>
  <c r="AD23" i="48"/>
  <c r="AD32" i="48"/>
  <c r="C78" i="39" s="1"/>
  <c r="D41" i="39" s="1"/>
  <c r="C14" i="47"/>
  <c r="C14" i="39"/>
  <c r="N18" i="39" s="1"/>
  <c r="AF32" i="48"/>
  <c r="C78" i="41" s="1"/>
  <c r="D41" i="41" s="1"/>
  <c r="AF23" i="48"/>
  <c r="E14" i="47"/>
  <c r="AE20" i="48"/>
  <c r="AE29" i="48"/>
  <c r="C75" i="40" s="1"/>
  <c r="D38" i="40" s="1"/>
  <c r="D11" i="47"/>
  <c r="C11" i="40"/>
  <c r="N15" i="40" s="1"/>
  <c r="AJ30" i="48"/>
  <c r="C76" i="45" s="1"/>
  <c r="D39" i="45" s="1"/>
  <c r="I12" i="47"/>
  <c r="AJ21" i="48"/>
  <c r="C12" i="45"/>
  <c r="N16" i="45" s="1"/>
  <c r="C12" i="46"/>
  <c r="N16" i="46" s="1"/>
  <c r="AE28" i="48"/>
  <c r="C74" i="40" s="1"/>
  <c r="D37" i="40" s="1"/>
  <c r="D10" i="47"/>
  <c r="C10" i="40"/>
  <c r="N14" i="40" s="1"/>
  <c r="AE19" i="48"/>
  <c r="I90" i="48"/>
  <c r="I8" i="47"/>
  <c r="C8" i="46"/>
  <c r="N12" i="46" s="1"/>
  <c r="AJ17" i="48"/>
  <c r="C8" i="45"/>
  <c r="N12" i="45" s="1"/>
  <c r="AJ26" i="48"/>
  <c r="C72" i="45" s="1"/>
  <c r="D35" i="45" s="1"/>
  <c r="AF26" i="48"/>
  <c r="C72" i="41" s="1"/>
  <c r="D35" i="41" s="1"/>
  <c r="E8" i="47"/>
  <c r="AF17" i="48"/>
  <c r="AJ18" i="48"/>
  <c r="C9" i="46"/>
  <c r="N13" i="46" s="1"/>
  <c r="I9" i="47"/>
  <c r="AJ27" i="48"/>
  <c r="C73" i="45" s="1"/>
  <c r="D36" i="45" s="1"/>
  <c r="C9" i="45"/>
  <c r="N13" i="45" s="1"/>
  <c r="K86" i="48"/>
  <c r="E81" i="48"/>
  <c r="E97" i="48" s="1"/>
  <c r="E102" i="48" s="1"/>
  <c r="AE5" i="48"/>
  <c r="K84" i="48"/>
  <c r="J14" i="47"/>
  <c r="AK32" i="48"/>
  <c r="C78" i="46" s="1"/>
  <c r="D41" i="46" s="1"/>
  <c r="AK23" i="48"/>
  <c r="J12" i="47"/>
  <c r="AK21" i="48"/>
  <c r="AK30" i="48"/>
  <c r="C76" i="46" s="1"/>
  <c r="D39" i="46" s="1"/>
  <c r="AF19" i="48"/>
  <c r="E10" i="47"/>
  <c r="AF28" i="48"/>
  <c r="C74" i="41" s="1"/>
  <c r="D37" i="41" s="1"/>
  <c r="AD17" i="48"/>
  <c r="AD26" i="48"/>
  <c r="C72" i="39" s="1"/>
  <c r="D35" i="39" s="1"/>
  <c r="C8" i="47"/>
  <c r="C8" i="39"/>
  <c r="N12" i="39" s="1"/>
  <c r="AD27" i="48"/>
  <c r="C73" i="39" s="1"/>
  <c r="D36" i="39" s="1"/>
  <c r="AD18" i="48"/>
  <c r="C9" i="47"/>
  <c r="C9" i="39"/>
  <c r="N13" i="39" s="1"/>
  <c r="AD21" i="48"/>
  <c r="AD30" i="48"/>
  <c r="C76" i="39" s="1"/>
  <c r="D39" i="39" s="1"/>
  <c r="C12" i="39"/>
  <c r="N16" i="39" s="1"/>
  <c r="C12" i="47"/>
  <c r="D89" i="48"/>
  <c r="G90" i="48"/>
  <c r="D85" i="48"/>
  <c r="H114" i="48"/>
  <c r="AG27" i="48"/>
  <c r="C73" i="42" s="1"/>
  <c r="D36" i="42" s="1"/>
  <c r="F9" i="47"/>
  <c r="C9" i="42"/>
  <c r="N13" i="42" s="1"/>
  <c r="AG18" i="48"/>
  <c r="C9" i="41"/>
  <c r="N13" i="41" s="1"/>
  <c r="G81" i="48"/>
  <c r="G97" i="48" s="1"/>
  <c r="G110" i="48" s="1"/>
  <c r="AG5" i="48"/>
  <c r="AH32" i="48"/>
  <c r="C78" i="43" s="1"/>
  <c r="D41" i="43" s="1"/>
  <c r="AH23" i="48"/>
  <c r="C14" i="43"/>
  <c r="N18" i="43" s="1"/>
  <c r="G14" i="47"/>
  <c r="AI30" i="48"/>
  <c r="C76" i="44" s="1"/>
  <c r="D39" i="44" s="1"/>
  <c r="H12" i="47"/>
  <c r="AI21" i="48"/>
  <c r="C12" i="44"/>
  <c r="N16" i="44" s="1"/>
  <c r="H90" i="48"/>
  <c r="H108" i="48" s="1"/>
  <c r="H166" i="48" s="1"/>
  <c r="AI29" i="48"/>
  <c r="C75" i="44" s="1"/>
  <c r="D38" i="44" s="1"/>
  <c r="H11" i="47"/>
  <c r="AI20" i="48"/>
  <c r="C11" i="44"/>
  <c r="N15" i="44" s="1"/>
  <c r="I14" i="47"/>
  <c r="C14" i="46"/>
  <c r="N18" i="46" s="1"/>
  <c r="AJ32" i="48"/>
  <c r="C78" i="45" s="1"/>
  <c r="D41" i="45" s="1"/>
  <c r="AJ23" i="48"/>
  <c r="C14" i="45"/>
  <c r="N18" i="45" s="1"/>
  <c r="E88" i="48"/>
  <c r="E12" i="47"/>
  <c r="AF21" i="48"/>
  <c r="AF30" i="48"/>
  <c r="C76" i="41" s="1"/>
  <c r="D39" i="41" s="1"/>
  <c r="I10" i="47"/>
  <c r="AJ28" i="48"/>
  <c r="C74" i="45" s="1"/>
  <c r="D37" i="45" s="1"/>
  <c r="AJ19" i="48"/>
  <c r="C10" i="45"/>
  <c r="N14" i="45" s="1"/>
  <c r="C10" i="46"/>
  <c r="N14" i="46" s="1"/>
  <c r="AD31" i="48"/>
  <c r="C77" i="39" s="1"/>
  <c r="D40" i="39" s="1"/>
  <c r="AD22" i="48"/>
  <c r="C13" i="47"/>
  <c r="C13" i="39"/>
  <c r="N17" i="39" s="1"/>
  <c r="D91" i="48"/>
  <c r="E91" i="48"/>
  <c r="J88" i="48"/>
  <c r="H88" i="48"/>
  <c r="AH30" i="48"/>
  <c r="C76" i="43" s="1"/>
  <c r="D39" i="43" s="1"/>
  <c r="AH21" i="48"/>
  <c r="G12" i="47"/>
  <c r="C12" i="43"/>
  <c r="N16" i="43" s="1"/>
  <c r="J89" i="48"/>
  <c r="AG19" i="48"/>
  <c r="AG28" i="48"/>
  <c r="C74" i="42" s="1"/>
  <c r="D37" i="42" s="1"/>
  <c r="C10" i="42"/>
  <c r="N14" i="42" s="1"/>
  <c r="F10" i="47"/>
  <c r="C10" i="41"/>
  <c r="N14" i="41" s="1"/>
  <c r="H87" i="48"/>
  <c r="AE22" i="48"/>
  <c r="AE31" i="48"/>
  <c r="C77" i="40" s="1"/>
  <c r="D40" i="40" s="1"/>
  <c r="D13" i="47"/>
  <c r="C13" i="40"/>
  <c r="N17" i="40" s="1"/>
  <c r="AJ22" i="48"/>
  <c r="I13" i="47"/>
  <c r="C13" i="46"/>
  <c r="N17" i="46" s="1"/>
  <c r="C13" i="45"/>
  <c r="N17" i="45" s="1"/>
  <c r="AJ31" i="48"/>
  <c r="C77" i="45" s="1"/>
  <c r="D40" i="45" s="1"/>
  <c r="F85" i="48"/>
  <c r="J85" i="48"/>
  <c r="I86" i="48"/>
  <c r="F86" i="48"/>
  <c r="F104" i="48" s="1"/>
  <c r="D81" i="48"/>
  <c r="D97" i="48" s="1"/>
  <c r="D111" i="48" s="1"/>
  <c r="AD5" i="48"/>
  <c r="I81" i="48"/>
  <c r="I97" i="48" s="1"/>
  <c r="I113" i="48" s="1"/>
  <c r="I171" i="48" s="1"/>
  <c r="AI5" i="48"/>
  <c r="T49" i="19"/>
  <c r="V49" i="19" s="1"/>
  <c r="U49" i="19" s="1"/>
  <c r="R49" i="19"/>
  <c r="Q49" i="19" s="1"/>
  <c r="H105" i="48" l="1"/>
  <c r="K104" i="48"/>
  <c r="F107" i="48"/>
  <c r="F165" i="48" s="1"/>
  <c r="D103" i="48"/>
  <c r="D161" i="48" s="1"/>
  <c r="F112" i="48"/>
  <c r="F141" i="48" s="1"/>
  <c r="F170" i="48" s="1"/>
  <c r="F111" i="48"/>
  <c r="D107" i="48"/>
  <c r="D165" i="48" s="1"/>
  <c r="D114" i="48"/>
  <c r="D143" i="48" s="1"/>
  <c r="D172" i="48" s="1"/>
  <c r="I106" i="48"/>
  <c r="I164" i="48" s="1"/>
  <c r="D113" i="48"/>
  <c r="D171" i="48" s="1"/>
  <c r="I102" i="48"/>
  <c r="I160" i="48" s="1"/>
  <c r="I109" i="48"/>
  <c r="I138" i="48" s="1"/>
  <c r="I167" i="48" s="1"/>
  <c r="J103" i="48"/>
  <c r="J161" i="48" s="1"/>
  <c r="I108" i="48"/>
  <c r="I166" i="48" s="1"/>
  <c r="H102" i="48"/>
  <c r="H160" i="48" s="1"/>
  <c r="J107" i="48"/>
  <c r="J165" i="48" s="1"/>
  <c r="J114" i="48"/>
  <c r="J109" i="48"/>
  <c r="J138" i="48" s="1"/>
  <c r="J167" i="48" s="1"/>
  <c r="H113" i="48"/>
  <c r="H171" i="48" s="1"/>
  <c r="D108" i="48"/>
  <c r="D166" i="48" s="1"/>
  <c r="K107" i="48"/>
  <c r="K165" i="48" s="1"/>
  <c r="K112" i="48"/>
  <c r="K141" i="48" s="1"/>
  <c r="K170" i="48" s="1"/>
  <c r="I114" i="48"/>
  <c r="I143" i="48" s="1"/>
  <c r="I172" i="48" s="1"/>
  <c r="J105" i="48"/>
  <c r="J134" i="48" s="1"/>
  <c r="J163" i="48" s="1"/>
  <c r="J104" i="48"/>
  <c r="J133" i="48" s="1"/>
  <c r="D102" i="48"/>
  <c r="D160" i="48" s="1"/>
  <c r="H111" i="48"/>
  <c r="H140" i="48" s="1"/>
  <c r="H169" i="48" s="1"/>
  <c r="H107" i="48"/>
  <c r="H165" i="48" s="1"/>
  <c r="I107" i="48"/>
  <c r="I165" i="48" s="1"/>
  <c r="K105" i="48"/>
  <c r="K134" i="48" s="1"/>
  <c r="K163" i="48" s="1"/>
  <c r="J111" i="48"/>
  <c r="J140" i="48" s="1"/>
  <c r="J169" i="48" s="1"/>
  <c r="H106" i="48"/>
  <c r="H164" i="48" s="1"/>
  <c r="I104" i="48"/>
  <c r="I133" i="48" s="1"/>
  <c r="J106" i="48"/>
  <c r="J164" i="48" s="1"/>
  <c r="E98" i="48"/>
  <c r="K106" i="48"/>
  <c r="K164" i="48" s="1"/>
  <c r="K111" i="48"/>
  <c r="K140" i="48" s="1"/>
  <c r="K169" i="48" s="1"/>
  <c r="E160" i="48"/>
  <c r="K139" i="48"/>
  <c r="K168" i="48" s="1"/>
  <c r="F143" i="48"/>
  <c r="F172" i="48" s="1"/>
  <c r="D140" i="48"/>
  <c r="D169" i="48" s="1"/>
  <c r="E107" i="48"/>
  <c r="E165" i="48" s="1"/>
  <c r="G109" i="48"/>
  <c r="F108" i="48"/>
  <c r="F166" i="48" s="1"/>
  <c r="AJ38" i="48"/>
  <c r="C66" i="45"/>
  <c r="C38" i="45" s="1"/>
  <c r="AF16" i="48"/>
  <c r="AF25" i="48"/>
  <c r="C71" i="41" s="1"/>
  <c r="D34" i="41" s="1"/>
  <c r="AF13" i="48"/>
  <c r="E5" i="47" s="1"/>
  <c r="E7" i="47"/>
  <c r="F133" i="48"/>
  <c r="AK39" i="48"/>
  <c r="C67" i="46"/>
  <c r="C39" i="46" s="1"/>
  <c r="E39" i="46" s="1"/>
  <c r="F140" i="48"/>
  <c r="F169" i="48" s="1"/>
  <c r="AH40" i="48"/>
  <c r="C68" i="43"/>
  <c r="C40" i="43" s="1"/>
  <c r="E104" i="48"/>
  <c r="AK41" i="48"/>
  <c r="C69" i="46"/>
  <c r="C41" i="46" s="1"/>
  <c r="AF35" i="48"/>
  <c r="C63" i="41"/>
  <c r="C35" i="41" s="1"/>
  <c r="E35" i="41" s="1"/>
  <c r="E114" i="48"/>
  <c r="AF40" i="48"/>
  <c r="C68" i="41"/>
  <c r="C40" i="41" s="1"/>
  <c r="E40" i="41" s="1"/>
  <c r="D98" i="48"/>
  <c r="AE39" i="48"/>
  <c r="C67" i="40"/>
  <c r="C39" i="40" s="1"/>
  <c r="E39" i="40" s="1"/>
  <c r="AG56" i="48"/>
  <c r="AG55" i="48"/>
  <c r="AG51" i="48"/>
  <c r="AG47" i="48"/>
  <c r="AG53" i="48"/>
  <c r="AG49" i="48"/>
  <c r="AG54" i="48"/>
  <c r="AG50" i="48"/>
  <c r="AG52" i="48"/>
  <c r="AG48" i="48"/>
  <c r="F139" i="48"/>
  <c r="F168" i="48" s="1"/>
  <c r="G114" i="48"/>
  <c r="K133" i="48"/>
  <c r="AH39" i="48"/>
  <c r="C67" i="43"/>
  <c r="C39" i="43" s="1"/>
  <c r="E39" i="43" s="1"/>
  <c r="AI39" i="48"/>
  <c r="C67" i="44"/>
  <c r="C39" i="44" s="1"/>
  <c r="E39" i="44" s="1"/>
  <c r="AD39" i="48"/>
  <c r="C67" i="39"/>
  <c r="C39" i="39" s="1"/>
  <c r="E39" i="39" s="1"/>
  <c r="AJ39" i="48"/>
  <c r="C67" i="45"/>
  <c r="C39" i="45" s="1"/>
  <c r="E39" i="45" s="1"/>
  <c r="AF41" i="48"/>
  <c r="C69" i="41"/>
  <c r="C41" i="41" s="1"/>
  <c r="H141" i="48"/>
  <c r="H170" i="48" s="1"/>
  <c r="AF56" i="48"/>
  <c r="AF55" i="48"/>
  <c r="AF52" i="48"/>
  <c r="AF48" i="48"/>
  <c r="AF51" i="48"/>
  <c r="AF47" i="48"/>
  <c r="AF53" i="48"/>
  <c r="AF49" i="48"/>
  <c r="AF50" i="48"/>
  <c r="AF54" i="48"/>
  <c r="E110" i="48"/>
  <c r="C68" i="45"/>
  <c r="C40" i="45" s="1"/>
  <c r="AJ40" i="48"/>
  <c r="G108" i="48"/>
  <c r="G166" i="48" s="1"/>
  <c r="AI13" i="48"/>
  <c r="H7" i="47"/>
  <c r="AI16" i="48"/>
  <c r="AI25" i="48"/>
  <c r="C71" i="44" s="1"/>
  <c r="D34" i="44" s="1"/>
  <c r="C7" i="44"/>
  <c r="N11" i="44" s="1"/>
  <c r="AG35" i="48"/>
  <c r="C63" i="42"/>
  <c r="C35" i="42" s="1"/>
  <c r="E35" i="42" s="1"/>
  <c r="AH38" i="48"/>
  <c r="C66" i="43"/>
  <c r="C38" i="43" s="1"/>
  <c r="E38" i="43" s="1"/>
  <c r="AI55" i="48"/>
  <c r="AI54" i="48"/>
  <c r="AI50" i="48"/>
  <c r="AI52" i="48"/>
  <c r="AI48" i="48"/>
  <c r="AI51" i="48"/>
  <c r="AI53" i="48"/>
  <c r="AI56" i="48"/>
  <c r="AI49" i="48"/>
  <c r="AI47" i="48"/>
  <c r="AH25" i="48"/>
  <c r="C71" i="43" s="1"/>
  <c r="D34" i="43" s="1"/>
  <c r="AH13" i="48"/>
  <c r="AH16" i="48"/>
  <c r="C7" i="43"/>
  <c r="N11" i="43" s="1"/>
  <c r="G7" i="47"/>
  <c r="K143" i="48"/>
  <c r="K172" i="48" s="1"/>
  <c r="AK13" i="48"/>
  <c r="J5" i="47" s="1"/>
  <c r="J7" i="47"/>
  <c r="AK16" i="48"/>
  <c r="AK25" i="48"/>
  <c r="C71" i="46" s="1"/>
  <c r="D34" i="46" s="1"/>
  <c r="E105" i="48"/>
  <c r="K103" i="48"/>
  <c r="K161" i="48" s="1"/>
  <c r="I105" i="48"/>
  <c r="E38" i="45"/>
  <c r="F113" i="48"/>
  <c r="F171" i="48" s="1"/>
  <c r="AH35" i="48"/>
  <c r="C63" i="43"/>
  <c r="C35" i="43" s="1"/>
  <c r="C68" i="46"/>
  <c r="C40" i="46" s="1"/>
  <c r="E40" i="46" s="1"/>
  <c r="AK40" i="48"/>
  <c r="AG40" i="48"/>
  <c r="C68" i="42"/>
  <c r="C40" i="42" s="1"/>
  <c r="E40" i="42" s="1"/>
  <c r="J98" i="48"/>
  <c r="H143" i="48"/>
  <c r="H172" i="48" s="1"/>
  <c r="G139" i="48"/>
  <c r="G168" i="48" s="1"/>
  <c r="G107" i="48"/>
  <c r="G165" i="48" s="1"/>
  <c r="AI37" i="48"/>
  <c r="C65" i="44"/>
  <c r="C37" i="44" s="1"/>
  <c r="E37" i="44" s="1"/>
  <c r="E40" i="43"/>
  <c r="F109" i="48"/>
  <c r="I98" i="48"/>
  <c r="AD35" i="48"/>
  <c r="C63" i="39"/>
  <c r="C35" i="39" s="1"/>
  <c r="E35" i="39" s="1"/>
  <c r="AE37" i="48"/>
  <c r="C65" i="40"/>
  <c r="C37" i="40" s="1"/>
  <c r="E37" i="40" s="1"/>
  <c r="AE41" i="48"/>
  <c r="C69" i="40"/>
  <c r="C41" i="40" s="1"/>
  <c r="E41" i="40" s="1"/>
  <c r="AI36" i="48"/>
  <c r="C64" i="44"/>
  <c r="C36" i="44" s="1"/>
  <c r="E36" i="44" s="1"/>
  <c r="AG41" i="48"/>
  <c r="C69" i="42"/>
  <c r="C41" i="42" s="1"/>
  <c r="E41" i="42" s="1"/>
  <c r="AG37" i="48"/>
  <c r="C65" i="42"/>
  <c r="C37" i="42" s="1"/>
  <c r="E37" i="42" s="1"/>
  <c r="AD16" i="48"/>
  <c r="AD25" i="48"/>
  <c r="C71" i="39" s="1"/>
  <c r="D34" i="39" s="1"/>
  <c r="C7" i="47"/>
  <c r="C7" i="39"/>
  <c r="N11" i="39" s="1"/>
  <c r="AD13" i="48"/>
  <c r="E112" i="48"/>
  <c r="D110" i="48"/>
  <c r="AH55" i="48"/>
  <c r="AH54" i="48"/>
  <c r="AH51" i="48"/>
  <c r="AH47" i="48"/>
  <c r="AH50" i="48"/>
  <c r="AH56" i="48"/>
  <c r="AH52" i="48"/>
  <c r="AH48" i="48"/>
  <c r="AH53" i="48"/>
  <c r="AH49" i="48"/>
  <c r="I111" i="48"/>
  <c r="G105" i="48"/>
  <c r="AD38" i="48"/>
  <c r="C66" i="39"/>
  <c r="C38" i="39" s="1"/>
  <c r="E38" i="39" s="1"/>
  <c r="AH36" i="48"/>
  <c r="C64" i="43"/>
  <c r="C36" i="43" s="1"/>
  <c r="E36" i="43" s="1"/>
  <c r="AK54" i="48"/>
  <c r="AK53" i="48"/>
  <c r="AK49" i="48"/>
  <c r="AK51" i="48"/>
  <c r="AK47" i="48"/>
  <c r="AK55" i="48"/>
  <c r="AK50" i="48"/>
  <c r="AK52" i="48"/>
  <c r="AK48" i="48"/>
  <c r="AK56" i="48"/>
  <c r="G111" i="48"/>
  <c r="AJ56" i="48"/>
  <c r="AJ50" i="48"/>
  <c r="AJ53" i="48"/>
  <c r="AJ49" i="48"/>
  <c r="AJ54" i="48"/>
  <c r="AJ51" i="48"/>
  <c r="AJ47" i="48"/>
  <c r="AJ55" i="48"/>
  <c r="AJ52" i="48"/>
  <c r="AJ48" i="48"/>
  <c r="E113" i="48"/>
  <c r="E171" i="48" s="1"/>
  <c r="AK37" i="48"/>
  <c r="C65" i="46"/>
  <c r="C37" i="46" s="1"/>
  <c r="E37" i="46" s="1"/>
  <c r="K109" i="48"/>
  <c r="J112" i="48"/>
  <c r="J102" i="48"/>
  <c r="E41" i="46"/>
  <c r="C66" i="42"/>
  <c r="C38" i="42" s="1"/>
  <c r="E38" i="42" s="1"/>
  <c r="AG38" i="48"/>
  <c r="E109" i="48"/>
  <c r="AJ37" i="48"/>
  <c r="C65" i="45"/>
  <c r="C37" i="45" s="1"/>
  <c r="E37" i="45" s="1"/>
  <c r="E40" i="45"/>
  <c r="AE40" i="48"/>
  <c r="C68" i="40"/>
  <c r="C40" i="40" s="1"/>
  <c r="E40" i="40" s="1"/>
  <c r="D109" i="48"/>
  <c r="AJ41" i="48"/>
  <c r="C69" i="45"/>
  <c r="C41" i="45" s="1"/>
  <c r="E41" i="45" s="1"/>
  <c r="AH41" i="48"/>
  <c r="C69" i="43"/>
  <c r="C41" i="43" s="1"/>
  <c r="E41" i="43" s="1"/>
  <c r="AD36" i="48"/>
  <c r="C64" i="39"/>
  <c r="C36" i="39" s="1"/>
  <c r="E36" i="39" s="1"/>
  <c r="AF37" i="48"/>
  <c r="C65" i="41"/>
  <c r="C37" i="41" s="1"/>
  <c r="E37" i="41" s="1"/>
  <c r="K102" i="48"/>
  <c r="K98" i="48"/>
  <c r="AD41" i="48"/>
  <c r="C69" i="39"/>
  <c r="C41" i="39" s="1"/>
  <c r="E41" i="39" s="1"/>
  <c r="AF38" i="48"/>
  <c r="C66" i="41"/>
  <c r="C38" i="41" s="1"/>
  <c r="E38" i="41" s="1"/>
  <c r="F102" i="48"/>
  <c r="F98" i="48"/>
  <c r="I103" i="48"/>
  <c r="I161" i="48" s="1"/>
  <c r="F105" i="48"/>
  <c r="E103" i="48"/>
  <c r="E161" i="48" s="1"/>
  <c r="H104" i="48"/>
  <c r="J113" i="48"/>
  <c r="J171" i="48" s="1"/>
  <c r="G103" i="48"/>
  <c r="G161" i="48" s="1"/>
  <c r="AJ13" i="48"/>
  <c r="I5" i="47" s="1"/>
  <c r="I7" i="47"/>
  <c r="C7" i="46"/>
  <c r="N11" i="46" s="1"/>
  <c r="AJ25" i="48"/>
  <c r="C71" i="45" s="1"/>
  <c r="D34" i="45" s="1"/>
  <c r="AJ16" i="48"/>
  <c r="C7" i="45"/>
  <c r="N11" i="45" s="1"/>
  <c r="AF36" i="48"/>
  <c r="C64" i="41"/>
  <c r="C36" i="41" s="1"/>
  <c r="E36" i="41" s="1"/>
  <c r="C63" i="46"/>
  <c r="C35" i="46" s="1"/>
  <c r="E35" i="46" s="1"/>
  <c r="AK35" i="48"/>
  <c r="AG39" i="48"/>
  <c r="C67" i="42"/>
  <c r="C39" i="42" s="1"/>
  <c r="E39" i="42" s="1"/>
  <c r="H109" i="48"/>
  <c r="G106" i="48"/>
  <c r="G164" i="48" s="1"/>
  <c r="G98" i="48"/>
  <c r="AG25" i="48"/>
  <c r="C71" i="42" s="1"/>
  <c r="D34" i="42" s="1"/>
  <c r="F7" i="47"/>
  <c r="AG13" i="48"/>
  <c r="F5" i="47" s="1"/>
  <c r="AG16" i="48"/>
  <c r="C7" i="42"/>
  <c r="N11" i="42" s="1"/>
  <c r="C7" i="41"/>
  <c r="N11" i="41" s="1"/>
  <c r="AE56" i="48"/>
  <c r="AE54" i="48"/>
  <c r="AE52" i="48"/>
  <c r="AE48" i="48"/>
  <c r="AE55" i="48"/>
  <c r="AE50" i="48"/>
  <c r="AE51" i="48"/>
  <c r="AE47" i="48"/>
  <c r="AE53" i="48"/>
  <c r="AE49" i="48"/>
  <c r="H139" i="48"/>
  <c r="H168" i="48" s="1"/>
  <c r="AD40" i="48"/>
  <c r="C68" i="39"/>
  <c r="C40" i="39" s="1"/>
  <c r="E40" i="39" s="1"/>
  <c r="C64" i="46"/>
  <c r="C36" i="46" s="1"/>
  <c r="E36" i="46" s="1"/>
  <c r="AK36" i="48"/>
  <c r="G104" i="48"/>
  <c r="AI35" i="48"/>
  <c r="C63" i="44"/>
  <c r="C35" i="44" s="1"/>
  <c r="E35" i="44" s="1"/>
  <c r="AF39" i="48"/>
  <c r="C67" i="41"/>
  <c r="C39" i="41" s="1"/>
  <c r="E39" i="41" s="1"/>
  <c r="E41" i="41"/>
  <c r="E111" i="48"/>
  <c r="AI38" i="48"/>
  <c r="C66" i="44"/>
  <c r="C38" i="44" s="1"/>
  <c r="AK38" i="48"/>
  <c r="C66" i="46"/>
  <c r="C38" i="46" s="1"/>
  <c r="E38" i="46" s="1"/>
  <c r="I139" i="48"/>
  <c r="I168" i="48" s="1"/>
  <c r="AI40" i="48"/>
  <c r="C68" i="44"/>
  <c r="C40" i="44" s="1"/>
  <c r="E40" i="44" s="1"/>
  <c r="E106" i="48"/>
  <c r="E164" i="48" s="1"/>
  <c r="AG36" i="48"/>
  <c r="C64" i="42"/>
  <c r="C36" i="42" s="1"/>
  <c r="E36" i="42" s="1"/>
  <c r="F103" i="48"/>
  <c r="F161" i="48" s="1"/>
  <c r="E38" i="44"/>
  <c r="AD56" i="48"/>
  <c r="AD55" i="48"/>
  <c r="AD53" i="48"/>
  <c r="AD49" i="48"/>
  <c r="AD54" i="48"/>
  <c r="AD52" i="48"/>
  <c r="AD48" i="48"/>
  <c r="AD50" i="48"/>
  <c r="AD47" i="48"/>
  <c r="AD51" i="48"/>
  <c r="G113" i="48"/>
  <c r="G171" i="48" s="1"/>
  <c r="H134" i="48"/>
  <c r="H163" i="48" s="1"/>
  <c r="G112" i="48"/>
  <c r="AE16" i="48"/>
  <c r="AE25" i="48"/>
  <c r="C71" i="40" s="1"/>
  <c r="D34" i="40" s="1"/>
  <c r="D7" i="47"/>
  <c r="AE13" i="48"/>
  <c r="C7" i="40"/>
  <c r="N11" i="40" s="1"/>
  <c r="C64" i="45"/>
  <c r="C36" i="45" s="1"/>
  <c r="E36" i="45" s="1"/>
  <c r="AJ36" i="48"/>
  <c r="C63" i="45"/>
  <c r="C35" i="45" s="1"/>
  <c r="E35" i="45" s="1"/>
  <c r="AJ35" i="48"/>
  <c r="AE38" i="48"/>
  <c r="C66" i="40"/>
  <c r="C38" i="40" s="1"/>
  <c r="E38" i="40" s="1"/>
  <c r="AD37" i="48"/>
  <c r="C65" i="39"/>
  <c r="C37" i="39" s="1"/>
  <c r="E37" i="39" s="1"/>
  <c r="D106" i="48"/>
  <c r="D164" i="48" s="1"/>
  <c r="K113" i="48"/>
  <c r="K171" i="48" s="1"/>
  <c r="H103" i="48"/>
  <c r="H161" i="48" s="1"/>
  <c r="I112" i="48"/>
  <c r="C69" i="44"/>
  <c r="C41" i="44" s="1"/>
  <c r="E41" i="44" s="1"/>
  <c r="AI41" i="48"/>
  <c r="D112" i="48"/>
  <c r="AH37" i="48"/>
  <c r="C65" i="43"/>
  <c r="C37" i="43" s="1"/>
  <c r="E37" i="43" s="1"/>
  <c r="D104" i="48"/>
  <c r="AE35" i="48"/>
  <c r="C63" i="40"/>
  <c r="C35" i="40" s="1"/>
  <c r="E35" i="40" s="1"/>
  <c r="D105" i="48"/>
  <c r="K108" i="48"/>
  <c r="K166" i="48" s="1"/>
  <c r="F106" i="48"/>
  <c r="F164" i="48" s="1"/>
  <c r="J110" i="48"/>
  <c r="AE36" i="48"/>
  <c r="C64" i="40"/>
  <c r="C36" i="40" s="1"/>
  <c r="E36" i="40" s="1"/>
  <c r="E35" i="43"/>
  <c r="E108" i="48"/>
  <c r="E166" i="48" s="1"/>
  <c r="H98" i="48"/>
  <c r="G102" i="48"/>
  <c r="E43" i="19"/>
  <c r="F35" i="19"/>
  <c r="E31" i="19"/>
  <c r="F50" i="19"/>
  <c r="E50" i="19" s="1"/>
  <c r="F48" i="19"/>
  <c r="E48" i="19" s="1"/>
  <c r="F47" i="19"/>
  <c r="E47" i="19" s="1"/>
  <c r="F46" i="19"/>
  <c r="E46" i="19" s="1"/>
  <c r="F45" i="19"/>
  <c r="E45" i="19" s="1"/>
  <c r="F39" i="19"/>
  <c r="E39" i="19" s="1"/>
  <c r="E38" i="19"/>
  <c r="U24" i="19"/>
  <c r="U21" i="19"/>
  <c r="Q24" i="19"/>
  <c r="Q21" i="19"/>
  <c r="M24" i="19"/>
  <c r="M21" i="19"/>
  <c r="I24" i="19"/>
  <c r="I21" i="19"/>
  <c r="E21" i="19"/>
  <c r="E24" i="19"/>
  <c r="J143" i="48" l="1"/>
  <c r="J172" i="48" s="1"/>
  <c r="D120" i="48"/>
  <c r="Q19" i="48" s="1"/>
  <c r="Q20" i="48" s="1"/>
  <c r="AD62" i="48" s="1"/>
  <c r="H120" i="48"/>
  <c r="I120" i="48"/>
  <c r="L44" i="37" s="1"/>
  <c r="Q51" i="48"/>
  <c r="Q52" i="48" s="1"/>
  <c r="AD70" i="48" s="1"/>
  <c r="C62" i="46"/>
  <c r="AK34" i="48"/>
  <c r="H23" i="47"/>
  <c r="C23" i="44"/>
  <c r="Q16" i="44" s="1"/>
  <c r="E27" i="47"/>
  <c r="G143" i="48"/>
  <c r="G172" i="48" s="1"/>
  <c r="C23" i="42"/>
  <c r="Q16" i="42" s="1"/>
  <c r="C23" i="41"/>
  <c r="Q16" i="41" s="1"/>
  <c r="F23" i="47"/>
  <c r="C27" i="41"/>
  <c r="Q20" i="41" s="1"/>
  <c r="F27" i="47"/>
  <c r="C27" i="42"/>
  <c r="Q20" i="42" s="1"/>
  <c r="H119" i="48"/>
  <c r="C24" i="47"/>
  <c r="C24" i="39"/>
  <c r="Q17" i="39" s="1"/>
  <c r="I21" i="47"/>
  <c r="C21" i="46"/>
  <c r="Q14" i="46" s="1"/>
  <c r="C21" i="45"/>
  <c r="Q14" i="45" s="1"/>
  <c r="J22" i="47"/>
  <c r="H21" i="47"/>
  <c r="C21" i="44"/>
  <c r="Q14" i="44" s="1"/>
  <c r="F134" i="48"/>
  <c r="F163" i="48" s="1"/>
  <c r="I26" i="47"/>
  <c r="C26" i="46"/>
  <c r="Q19" i="46" s="1"/>
  <c r="C26" i="45"/>
  <c r="Q19" i="45" s="1"/>
  <c r="J139" i="48"/>
  <c r="J168" i="48" s="1"/>
  <c r="AE34" i="48"/>
  <c r="C62" i="40"/>
  <c r="C21" i="39"/>
  <c r="Q14" i="39" s="1"/>
  <c r="C21" i="47"/>
  <c r="D24" i="47"/>
  <c r="C24" i="40"/>
  <c r="Q17" i="40" s="1"/>
  <c r="D27" i="47"/>
  <c r="C27" i="40"/>
  <c r="Q20" i="40" s="1"/>
  <c r="AJ57" i="48"/>
  <c r="I18" i="47"/>
  <c r="C18" i="45"/>
  <c r="Q11" i="45" s="1"/>
  <c r="C18" i="46"/>
  <c r="Q11" i="46" s="1"/>
  <c r="J27" i="47"/>
  <c r="J24" i="47"/>
  <c r="G134" i="48"/>
  <c r="G163" i="48" s="1"/>
  <c r="AH57" i="48"/>
  <c r="C18" i="43"/>
  <c r="Q11" i="43" s="1"/>
  <c r="G18" i="47"/>
  <c r="D139" i="48"/>
  <c r="D168" i="48" s="1"/>
  <c r="H54" i="39"/>
  <c r="C33" i="47" s="1"/>
  <c r="D119" i="48"/>
  <c r="I125" i="48"/>
  <c r="C62" i="43"/>
  <c r="AH34" i="48"/>
  <c r="H20" i="47"/>
  <c r="C20" i="44"/>
  <c r="Q13" i="44" s="1"/>
  <c r="H26" i="47"/>
  <c r="C26" i="44"/>
  <c r="Q19" i="44" s="1"/>
  <c r="E18" i="47"/>
  <c r="AF57" i="48"/>
  <c r="F20" i="47"/>
  <c r="C20" i="42"/>
  <c r="Q13" i="42" s="1"/>
  <c r="C20" i="41"/>
  <c r="Q13" i="41" s="1"/>
  <c r="E133" i="48"/>
  <c r="E162" i="48" s="1"/>
  <c r="H125" i="48"/>
  <c r="H54" i="41"/>
  <c r="E33" i="47" s="1"/>
  <c r="E120" i="48"/>
  <c r="AK57" i="48"/>
  <c r="J18" i="47"/>
  <c r="G23" i="47"/>
  <c r="C23" i="43"/>
  <c r="Q16" i="43" s="1"/>
  <c r="I134" i="48"/>
  <c r="E20" i="47"/>
  <c r="D25" i="47"/>
  <c r="C25" i="40"/>
  <c r="Q18" i="40" s="1"/>
  <c r="AE57" i="48"/>
  <c r="D18" i="47"/>
  <c r="C18" i="40"/>
  <c r="Q11" i="40" s="1"/>
  <c r="J160" i="48"/>
  <c r="J125" i="48"/>
  <c r="J124" i="48"/>
  <c r="J120" i="48"/>
  <c r="J119" i="48"/>
  <c r="J115" i="48"/>
  <c r="I22" i="47"/>
  <c r="C22" i="46"/>
  <c r="Q15" i="46" s="1"/>
  <c r="C22" i="45"/>
  <c r="Q15" i="45" s="1"/>
  <c r="J19" i="47"/>
  <c r="J25" i="47"/>
  <c r="I140" i="48"/>
  <c r="I169" i="48" s="1"/>
  <c r="G22" i="47"/>
  <c r="C22" i="43"/>
  <c r="Q15" i="43" s="1"/>
  <c r="C62" i="39"/>
  <c r="AD34" i="48"/>
  <c r="E134" i="48"/>
  <c r="E163" i="48" s="1"/>
  <c r="G5" i="47"/>
  <c r="C5" i="43"/>
  <c r="N9" i="43" s="1"/>
  <c r="O11" i="43" s="1"/>
  <c r="H27" i="47"/>
  <c r="C27" i="44"/>
  <c r="Q20" i="44" s="1"/>
  <c r="H54" i="44"/>
  <c r="H33" i="47" s="1"/>
  <c r="E22" i="47"/>
  <c r="F24" i="47"/>
  <c r="C24" i="42"/>
  <c r="Q17" i="42" s="1"/>
  <c r="C24" i="41"/>
  <c r="Q17" i="41" s="1"/>
  <c r="AF34" i="48"/>
  <c r="C62" i="41"/>
  <c r="D5" i="47"/>
  <c r="C5" i="42"/>
  <c r="N9" i="42" s="1"/>
  <c r="C5" i="40"/>
  <c r="N9" i="40" s="1"/>
  <c r="C5" i="41"/>
  <c r="N9" i="41" s="1"/>
  <c r="D19" i="47"/>
  <c r="C19" i="40"/>
  <c r="Q12" i="40" s="1"/>
  <c r="I141" i="48"/>
  <c r="I170" i="48" s="1"/>
  <c r="C22" i="47"/>
  <c r="C22" i="39"/>
  <c r="Q15" i="39" s="1"/>
  <c r="H54" i="42"/>
  <c r="F33" i="47" s="1"/>
  <c r="D138" i="48"/>
  <c r="D167" i="48" s="1"/>
  <c r="I23" i="47"/>
  <c r="C23" i="46"/>
  <c r="Q16" i="46" s="1"/>
  <c r="C23" i="45"/>
  <c r="Q16" i="45" s="1"/>
  <c r="I124" i="48"/>
  <c r="C21" i="42"/>
  <c r="Q14" i="42" s="1"/>
  <c r="F21" i="47"/>
  <c r="C21" i="41"/>
  <c r="Q14" i="41" s="1"/>
  <c r="D133" i="48"/>
  <c r="G140" i="48"/>
  <c r="G169" i="48" s="1"/>
  <c r="G21" i="47"/>
  <c r="C21" i="43"/>
  <c r="Q14" i="43" s="1"/>
  <c r="H25" i="47"/>
  <c r="C25" i="44"/>
  <c r="Q18" i="44" s="1"/>
  <c r="E24" i="47"/>
  <c r="C25" i="42"/>
  <c r="Q18" i="42" s="1"/>
  <c r="F25" i="47"/>
  <c r="C25" i="41"/>
  <c r="Q18" i="41" s="1"/>
  <c r="H124" i="48"/>
  <c r="E119" i="48"/>
  <c r="G160" i="48"/>
  <c r="G125" i="48"/>
  <c r="G124" i="48"/>
  <c r="G120" i="48"/>
  <c r="G119" i="48"/>
  <c r="G115" i="48"/>
  <c r="C19" i="47"/>
  <c r="C19" i="39"/>
  <c r="Q12" i="39" s="1"/>
  <c r="C23" i="39"/>
  <c r="Q16" i="39" s="1"/>
  <c r="C23" i="47"/>
  <c r="D22" i="47"/>
  <c r="C22" i="40"/>
  <c r="Q15" i="40" s="1"/>
  <c r="H138" i="48"/>
  <c r="H167" i="48" s="1"/>
  <c r="F119" i="48"/>
  <c r="F120" i="48"/>
  <c r="F125" i="48"/>
  <c r="F115" i="48"/>
  <c r="F160" i="48"/>
  <c r="F124" i="48"/>
  <c r="C25" i="46"/>
  <c r="Q18" i="46" s="1"/>
  <c r="I25" i="47"/>
  <c r="C25" i="45"/>
  <c r="Q18" i="45" s="1"/>
  <c r="J23" i="47"/>
  <c r="C20" i="43"/>
  <c r="Q13" i="43" s="1"/>
  <c r="G20" i="47"/>
  <c r="G25" i="47"/>
  <c r="C25" i="43"/>
  <c r="Q18" i="43" s="1"/>
  <c r="D124" i="48"/>
  <c r="H54" i="43"/>
  <c r="G33" i="47" s="1"/>
  <c r="H24" i="47"/>
  <c r="C24" i="44"/>
  <c r="Q17" i="44" s="1"/>
  <c r="AI34" i="48"/>
  <c r="C62" i="44"/>
  <c r="E19" i="47"/>
  <c r="AG57" i="48"/>
  <c r="F18" i="47"/>
  <c r="C18" i="41"/>
  <c r="Q11" i="41" s="1"/>
  <c r="C18" i="42"/>
  <c r="Q11" i="42" s="1"/>
  <c r="F162" i="48"/>
  <c r="G138" i="48"/>
  <c r="G167" i="48" s="1"/>
  <c r="E115" i="48"/>
  <c r="C26" i="47"/>
  <c r="C26" i="39"/>
  <c r="Q19" i="39" s="1"/>
  <c r="D23" i="47"/>
  <c r="C23" i="40"/>
  <c r="Q16" i="40" s="1"/>
  <c r="C27" i="43"/>
  <c r="Q20" i="43" s="1"/>
  <c r="G27" i="47"/>
  <c r="U51" i="48"/>
  <c r="U52" i="48" s="1"/>
  <c r="AG70" i="48" s="1"/>
  <c r="U19" i="48"/>
  <c r="U20" i="48" s="1"/>
  <c r="AG62" i="48" s="1"/>
  <c r="I44" i="37"/>
  <c r="J44" i="37"/>
  <c r="H54" i="40"/>
  <c r="D33" i="47" s="1"/>
  <c r="AD57" i="48"/>
  <c r="C18" i="47"/>
  <c r="C18" i="39"/>
  <c r="Q11" i="39" s="1"/>
  <c r="D20" i="47"/>
  <c r="C20" i="40"/>
  <c r="Q13" i="40" s="1"/>
  <c r="H18" i="47"/>
  <c r="C18" i="44"/>
  <c r="Q11" i="44" s="1"/>
  <c r="AI57" i="48"/>
  <c r="AG34" i="48"/>
  <c r="C62" i="42"/>
  <c r="H133" i="48"/>
  <c r="H162" i="48" s="1"/>
  <c r="J141" i="48"/>
  <c r="G24" i="47"/>
  <c r="C24" i="43"/>
  <c r="Q17" i="43" s="1"/>
  <c r="C26" i="43"/>
  <c r="Q19" i="43" s="1"/>
  <c r="G26" i="47"/>
  <c r="D125" i="48"/>
  <c r="H22" i="47"/>
  <c r="C22" i="44"/>
  <c r="Q15" i="44" s="1"/>
  <c r="E139" i="48"/>
  <c r="E168" i="48" s="1"/>
  <c r="E23" i="47"/>
  <c r="K162" i="48"/>
  <c r="F22" i="47"/>
  <c r="C22" i="41"/>
  <c r="Q15" i="41" s="1"/>
  <c r="C22" i="42"/>
  <c r="Q15" i="42" s="1"/>
  <c r="E125" i="48"/>
  <c r="I19" i="47"/>
  <c r="C19" i="46"/>
  <c r="Q12" i="46" s="1"/>
  <c r="C19" i="45"/>
  <c r="Q12" i="45" s="1"/>
  <c r="C5" i="47"/>
  <c r="C5" i="39"/>
  <c r="N9" i="39" s="1"/>
  <c r="E21" i="47"/>
  <c r="G141" i="48"/>
  <c r="G170" i="48" s="1"/>
  <c r="I27" i="47"/>
  <c r="C27" i="45"/>
  <c r="Q20" i="45" s="1"/>
  <c r="C27" i="46"/>
  <c r="Q20" i="46" s="1"/>
  <c r="F138" i="48"/>
  <c r="C27" i="47"/>
  <c r="C27" i="39"/>
  <c r="Q20" i="39" s="1"/>
  <c r="K138" i="48"/>
  <c r="K149" i="48" s="1"/>
  <c r="J20" i="47"/>
  <c r="D115" i="48"/>
  <c r="I115" i="48"/>
  <c r="D141" i="48"/>
  <c r="D170" i="48" s="1"/>
  <c r="C25" i="47"/>
  <c r="C25" i="39"/>
  <c r="Q18" i="39" s="1"/>
  <c r="D21" i="47"/>
  <c r="C21" i="40"/>
  <c r="Q14" i="40" s="1"/>
  <c r="AJ34" i="48"/>
  <c r="C62" i="45"/>
  <c r="C20" i="46"/>
  <c r="Q13" i="46" s="1"/>
  <c r="I20" i="47"/>
  <c r="C20" i="45"/>
  <c r="Q13" i="45" s="1"/>
  <c r="J21" i="47"/>
  <c r="D134" i="48"/>
  <c r="D163" i="48" s="1"/>
  <c r="C20" i="47"/>
  <c r="C20" i="39"/>
  <c r="Q13" i="39" s="1"/>
  <c r="E140" i="48"/>
  <c r="E169" i="48" s="1"/>
  <c r="G133" i="48"/>
  <c r="I162" i="48"/>
  <c r="D26" i="47"/>
  <c r="C26" i="40"/>
  <c r="Q19" i="40" s="1"/>
  <c r="H54" i="45"/>
  <c r="I33" i="47" s="1"/>
  <c r="K160" i="48"/>
  <c r="K125" i="48"/>
  <c r="K124" i="48"/>
  <c r="K120" i="48"/>
  <c r="K119" i="48"/>
  <c r="K115" i="48"/>
  <c r="E138" i="48"/>
  <c r="E167" i="48" s="1"/>
  <c r="I24" i="47"/>
  <c r="C24" i="46"/>
  <c r="Q17" i="46" s="1"/>
  <c r="C24" i="45"/>
  <c r="Q17" i="45" s="1"/>
  <c r="J26" i="47"/>
  <c r="G19" i="47"/>
  <c r="C19" i="43"/>
  <c r="Q12" i="43" s="1"/>
  <c r="E141" i="48"/>
  <c r="E170" i="48" s="1"/>
  <c r="I119" i="48"/>
  <c r="H54" i="46"/>
  <c r="J33" i="47" s="1"/>
  <c r="H19" i="47"/>
  <c r="C19" i="44"/>
  <c r="Q12" i="44" s="1"/>
  <c r="H5" i="47"/>
  <c r="C5" i="46"/>
  <c r="N9" i="46" s="1"/>
  <c r="O11" i="46" s="1"/>
  <c r="C5" i="44"/>
  <c r="N9" i="44" s="1"/>
  <c r="C5" i="45"/>
  <c r="N9" i="45" s="1"/>
  <c r="O11" i="45" s="1"/>
  <c r="E25" i="47"/>
  <c r="E26" i="47"/>
  <c r="J162" i="48"/>
  <c r="C19" i="42"/>
  <c r="Q12" i="42" s="1"/>
  <c r="F19" i="47"/>
  <c r="C19" i="41"/>
  <c r="Q12" i="41" s="1"/>
  <c r="F26" i="47"/>
  <c r="C26" i="42"/>
  <c r="Q19" i="42" s="1"/>
  <c r="C26" i="41"/>
  <c r="Q19" i="41" s="1"/>
  <c r="E143" i="48"/>
  <c r="E172" i="48" s="1"/>
  <c r="H115" i="48"/>
  <c r="E124" i="48"/>
  <c r="H52" i="9"/>
  <c r="H78" i="9"/>
  <c r="H80" i="9"/>
  <c r="H55" i="9"/>
  <c r="H54" i="9"/>
  <c r="H81" i="9"/>
  <c r="H44" i="9"/>
  <c r="H83" i="9"/>
  <c r="H57" i="9"/>
  <c r="D7" i="9"/>
  <c r="E44" i="37" l="1"/>
  <c r="K121" i="48"/>
  <c r="X24" i="48" s="1"/>
  <c r="X27" i="48" s="1"/>
  <c r="X34" i="48" s="1"/>
  <c r="X35" i="48" s="1"/>
  <c r="J144" i="48"/>
  <c r="J154" i="48" s="1"/>
  <c r="AH62" i="48"/>
  <c r="V51" i="48"/>
  <c r="V52" i="48" s="1"/>
  <c r="AI70" i="48" s="1"/>
  <c r="L71" i="44" s="1"/>
  <c r="C54" i="44" s="1"/>
  <c r="V19" i="48"/>
  <c r="V20" i="48" s="1"/>
  <c r="AI62" i="48" s="1"/>
  <c r="K44" i="37"/>
  <c r="J148" i="48"/>
  <c r="J149" i="48"/>
  <c r="F148" i="48"/>
  <c r="F144" i="48"/>
  <c r="F153" i="48" s="1"/>
  <c r="F167" i="48"/>
  <c r="F177" i="48" s="1"/>
  <c r="J170" i="48"/>
  <c r="L71" i="42"/>
  <c r="C54" i="42" s="1"/>
  <c r="E177" i="48"/>
  <c r="X29" i="48"/>
  <c r="X30" i="48" s="1"/>
  <c r="X32" i="48"/>
  <c r="D80" i="41"/>
  <c r="C34" i="41"/>
  <c r="C34" i="39"/>
  <c r="D80" i="39"/>
  <c r="D80" i="43"/>
  <c r="C34" i="43"/>
  <c r="C34" i="46"/>
  <c r="D80" i="46"/>
  <c r="O12" i="44"/>
  <c r="O15" i="44"/>
  <c r="O17" i="44"/>
  <c r="O13" i="44"/>
  <c r="O16" i="44"/>
  <c r="O18" i="44"/>
  <c r="O14" i="44"/>
  <c r="I42" i="37"/>
  <c r="U53" i="48"/>
  <c r="J42" i="37"/>
  <c r="O17" i="46"/>
  <c r="O18" i="46"/>
  <c r="O14" i="46"/>
  <c r="O13" i="46"/>
  <c r="O16" i="46"/>
  <c r="O15" i="46"/>
  <c r="O12" i="46"/>
  <c r="I121" i="48"/>
  <c r="L43" i="37"/>
  <c r="K43" i="37"/>
  <c r="X53" i="48"/>
  <c r="I149" i="48"/>
  <c r="K167" i="48"/>
  <c r="K173" i="48" s="1"/>
  <c r="K183" i="48" s="1"/>
  <c r="O16" i="39"/>
  <c r="O17" i="39"/>
  <c r="O13" i="39"/>
  <c r="O15" i="39"/>
  <c r="O12" i="39"/>
  <c r="O14" i="39"/>
  <c r="O18" i="39"/>
  <c r="J153" i="48"/>
  <c r="F121" i="48"/>
  <c r="S24" i="48" s="1"/>
  <c r="S27" i="48" s="1"/>
  <c r="V53" i="48"/>
  <c r="L42" i="37"/>
  <c r="K42" i="37"/>
  <c r="H173" i="48"/>
  <c r="H182" i="48" s="1"/>
  <c r="J121" i="48"/>
  <c r="M43" i="37"/>
  <c r="AE58" i="48"/>
  <c r="C16" i="42"/>
  <c r="Q9" i="42" s="1"/>
  <c r="D16" i="47"/>
  <c r="C16" i="40"/>
  <c r="Q9" i="40" s="1"/>
  <c r="P18" i="40" s="1"/>
  <c r="C16" i="41"/>
  <c r="Q9" i="41" s="1"/>
  <c r="P19" i="41" s="1"/>
  <c r="I163" i="48"/>
  <c r="I177" i="48" s="1"/>
  <c r="R19" i="48"/>
  <c r="R20" i="48" s="1"/>
  <c r="AE62" i="48" s="1"/>
  <c r="R51" i="48"/>
  <c r="R52" i="48" s="1"/>
  <c r="AE70" i="48" s="1"/>
  <c r="G44" i="37"/>
  <c r="P13" i="42"/>
  <c r="D121" i="48"/>
  <c r="E43" i="37"/>
  <c r="AH58" i="48"/>
  <c r="G16" i="47"/>
  <c r="C16" i="43"/>
  <c r="Q9" i="43" s="1"/>
  <c r="P18" i="43" s="1"/>
  <c r="D80" i="40"/>
  <c r="C34" i="40"/>
  <c r="P14" i="42"/>
  <c r="O14" i="40"/>
  <c r="O17" i="40"/>
  <c r="O16" i="40"/>
  <c r="O15" i="40"/>
  <c r="O12" i="40"/>
  <c r="O18" i="40"/>
  <c r="O13" i="40"/>
  <c r="P15" i="42"/>
  <c r="AI58" i="48"/>
  <c r="C16" i="46"/>
  <c r="Q9" i="46" s="1"/>
  <c r="P17" i="46" s="1"/>
  <c r="H16" i="47"/>
  <c r="C16" i="44"/>
  <c r="Q9" i="44" s="1"/>
  <c r="P16" i="44" s="1"/>
  <c r="C16" i="45"/>
  <c r="Q9" i="45" s="1"/>
  <c r="P20" i="45" s="1"/>
  <c r="S51" i="48"/>
  <c r="S52" i="48" s="1"/>
  <c r="S19" i="48"/>
  <c r="S20" i="48" s="1"/>
  <c r="P19" i="42"/>
  <c r="AH70" i="48"/>
  <c r="G121" i="48"/>
  <c r="H43" i="37"/>
  <c r="O11" i="39"/>
  <c r="H177" i="48"/>
  <c r="F149" i="48"/>
  <c r="O15" i="43"/>
  <c r="O17" i="43"/>
  <c r="O13" i="43"/>
  <c r="O16" i="43"/>
  <c r="O18" i="43"/>
  <c r="O12" i="43"/>
  <c r="O14" i="43"/>
  <c r="W51" i="48"/>
  <c r="W52" i="48" s="1"/>
  <c r="AJ70" i="48" s="1"/>
  <c r="W19" i="48"/>
  <c r="W20" i="48" s="1"/>
  <c r="AJ62" i="48" s="1"/>
  <c r="M44" i="37"/>
  <c r="H121" i="48"/>
  <c r="I43" i="37"/>
  <c r="J43" i="37"/>
  <c r="P16" i="42"/>
  <c r="AK58" i="48"/>
  <c r="J16" i="47"/>
  <c r="AD84" i="48"/>
  <c r="L63" i="39"/>
  <c r="R53" i="48"/>
  <c r="G42" i="37"/>
  <c r="O11" i="40"/>
  <c r="AG58" i="48"/>
  <c r="F16" i="47"/>
  <c r="C34" i="44"/>
  <c r="D80" i="44"/>
  <c r="T51" i="48"/>
  <c r="T52" i="48" s="1"/>
  <c r="AF70" i="48" s="1"/>
  <c r="T19" i="48"/>
  <c r="T20" i="48" s="1"/>
  <c r="AF62" i="48" s="1"/>
  <c r="H44" i="37"/>
  <c r="P18" i="42"/>
  <c r="D149" i="48"/>
  <c r="D148" i="48"/>
  <c r="D150" i="48" s="1"/>
  <c r="D144" i="48"/>
  <c r="D154" i="48" s="1"/>
  <c r="E173" i="48"/>
  <c r="H178" i="48"/>
  <c r="U142" i="48" s="1"/>
  <c r="W53" i="48"/>
  <c r="M42" i="37"/>
  <c r="P20" i="42"/>
  <c r="O17" i="45"/>
  <c r="O16" i="45"/>
  <c r="O14" i="45"/>
  <c r="O18" i="45"/>
  <c r="O12" i="45"/>
  <c r="O13" i="45"/>
  <c r="O15" i="45"/>
  <c r="X51" i="48"/>
  <c r="X52" i="48" s="1"/>
  <c r="AK70" i="48" s="1"/>
  <c r="X19" i="48"/>
  <c r="X20" i="48" s="1"/>
  <c r="AK62" i="48" s="1"/>
  <c r="O17" i="42"/>
  <c r="O12" i="42"/>
  <c r="O14" i="42"/>
  <c r="O15" i="42"/>
  <c r="O16" i="42"/>
  <c r="O13" i="42"/>
  <c r="O18" i="42"/>
  <c r="AH84" i="48"/>
  <c r="L63" i="43"/>
  <c r="I144" i="48"/>
  <c r="G149" i="48"/>
  <c r="G148" i="48"/>
  <c r="G144" i="48"/>
  <c r="G154" i="48" s="1"/>
  <c r="D80" i="45"/>
  <c r="C34" i="45"/>
  <c r="I148" i="48"/>
  <c r="H149" i="48"/>
  <c r="H148" i="48"/>
  <c r="H144" i="48"/>
  <c r="H154" i="48" s="1"/>
  <c r="P16" i="40"/>
  <c r="K144" i="48"/>
  <c r="K153" i="48" s="1"/>
  <c r="Q53" i="48"/>
  <c r="E42" i="37"/>
  <c r="S53" i="48"/>
  <c r="T53" i="48"/>
  <c r="H42" i="37"/>
  <c r="D162" i="48"/>
  <c r="E178" i="48"/>
  <c r="R142" i="48" s="1"/>
  <c r="AF58" i="48"/>
  <c r="E16" i="47"/>
  <c r="AI84" i="48"/>
  <c r="L63" i="44"/>
  <c r="G162" i="48"/>
  <c r="L71" i="39"/>
  <c r="C54" i="39" s="1"/>
  <c r="K148" i="48"/>
  <c r="K150" i="48" s="1"/>
  <c r="O11" i="42"/>
  <c r="E183" i="48"/>
  <c r="P17" i="42"/>
  <c r="J173" i="48"/>
  <c r="J182" i="48" s="1"/>
  <c r="AJ58" i="48"/>
  <c r="I16" i="47"/>
  <c r="AG84" i="48"/>
  <c r="L63" i="42"/>
  <c r="E121" i="48"/>
  <c r="G43" i="37"/>
  <c r="AD58" i="48"/>
  <c r="C16" i="47"/>
  <c r="C16" i="39"/>
  <c r="Q9" i="39" s="1"/>
  <c r="P13" i="39" s="1"/>
  <c r="P12" i="42"/>
  <c r="P14" i="40"/>
  <c r="D80" i="42"/>
  <c r="C34" i="42"/>
  <c r="P15" i="40"/>
  <c r="O15" i="41"/>
  <c r="O12" i="41"/>
  <c r="O16" i="41"/>
  <c r="O18" i="41"/>
  <c r="O14" i="41"/>
  <c r="O13" i="41"/>
  <c r="O17" i="41"/>
  <c r="O11" i="41"/>
  <c r="E149" i="48"/>
  <c r="E144" i="48"/>
  <c r="E154" i="48" s="1"/>
  <c r="E148" i="48"/>
  <c r="O11" i="44"/>
  <c r="P20" i="40"/>
  <c r="F31" i="8"/>
  <c r="P16" i="46" l="1"/>
  <c r="P13" i="45"/>
  <c r="K178" i="48"/>
  <c r="X142" i="48" s="1"/>
  <c r="P18" i="46"/>
  <c r="G150" i="48"/>
  <c r="K177" i="48"/>
  <c r="J150" i="48"/>
  <c r="P11" i="46"/>
  <c r="P12" i="40"/>
  <c r="P20" i="46"/>
  <c r="P13" i="46"/>
  <c r="F154" i="48"/>
  <c r="P13" i="40"/>
  <c r="P18" i="45"/>
  <c r="P12" i="45"/>
  <c r="P14" i="46"/>
  <c r="P14" i="41"/>
  <c r="P20" i="41"/>
  <c r="P17" i="44"/>
  <c r="P19" i="40"/>
  <c r="P12" i="46"/>
  <c r="P11" i="45"/>
  <c r="F150" i="48"/>
  <c r="P14" i="44"/>
  <c r="P18" i="41"/>
  <c r="J183" i="48"/>
  <c r="P19" i="39"/>
  <c r="P12" i="39"/>
  <c r="P17" i="45"/>
  <c r="P15" i="39"/>
  <c r="P14" i="45"/>
  <c r="P17" i="39"/>
  <c r="P15" i="44"/>
  <c r="P19" i="45"/>
  <c r="P16" i="45"/>
  <c r="P15" i="45"/>
  <c r="P16" i="43"/>
  <c r="P18" i="39"/>
  <c r="P14" i="39"/>
  <c r="F173" i="48"/>
  <c r="F182" i="48" s="1"/>
  <c r="H150" i="48"/>
  <c r="P12" i="44"/>
  <c r="P11" i="41"/>
  <c r="J177" i="48"/>
  <c r="P13" i="41"/>
  <c r="P11" i="40"/>
  <c r="J178" i="48"/>
  <c r="W142" i="48" s="1"/>
  <c r="F178" i="48"/>
  <c r="S142" i="48" s="1"/>
  <c r="S150" i="48" s="1"/>
  <c r="P15" i="46"/>
  <c r="I150" i="48"/>
  <c r="P17" i="41"/>
  <c r="P19" i="46"/>
  <c r="P16" i="41"/>
  <c r="P15" i="41"/>
  <c r="P20" i="44"/>
  <c r="P12" i="41"/>
  <c r="P19" i="44"/>
  <c r="P18" i="44"/>
  <c r="P13" i="44"/>
  <c r="X139" i="48"/>
  <c r="W139" i="48"/>
  <c r="V106" i="48"/>
  <c r="X91" i="48"/>
  <c r="V91" i="48"/>
  <c r="V139" i="48"/>
  <c r="X106" i="48"/>
  <c r="W91" i="48"/>
  <c r="W106" i="48"/>
  <c r="AK64" i="48"/>
  <c r="AK63" i="48"/>
  <c r="P14" i="43"/>
  <c r="P11" i="39"/>
  <c r="P19" i="43"/>
  <c r="AF59" i="48"/>
  <c r="E3" i="47"/>
  <c r="E15" i="47" s="1"/>
  <c r="T56" i="48"/>
  <c r="T57" i="48" s="1"/>
  <c r="T54" i="48"/>
  <c r="T55" i="48" s="1"/>
  <c r="T139" i="48"/>
  <c r="T106" i="48"/>
  <c r="S91" i="48"/>
  <c r="S139" i="48"/>
  <c r="S106" i="48"/>
  <c r="T91" i="48"/>
  <c r="K179" i="48"/>
  <c r="K154" i="48"/>
  <c r="AF84" i="48"/>
  <c r="L63" i="41"/>
  <c r="T24" i="48"/>
  <c r="T27" i="48" s="1"/>
  <c r="H45" i="37"/>
  <c r="AH59" i="48"/>
  <c r="C3" i="43"/>
  <c r="O6" i="43" s="1"/>
  <c r="O9" i="43" s="1"/>
  <c r="G3" i="47"/>
  <c r="G15" i="47" s="1"/>
  <c r="S34" i="48"/>
  <c r="S35" i="48" s="1"/>
  <c r="S29" i="48"/>
  <c r="S30" i="48" s="1"/>
  <c r="S32" i="48"/>
  <c r="D178" i="48"/>
  <c r="Q142" i="48" s="1"/>
  <c r="D177" i="48"/>
  <c r="D173" i="48"/>
  <c r="D183" i="48" s="1"/>
  <c r="AE84" i="48"/>
  <c r="L63" i="40"/>
  <c r="H53" i="43"/>
  <c r="E34" i="43"/>
  <c r="R24" i="48"/>
  <c r="G45" i="37"/>
  <c r="S56" i="48"/>
  <c r="S57" i="48" s="1"/>
  <c r="S54" i="48"/>
  <c r="S55" i="48" s="1"/>
  <c r="H153" i="48"/>
  <c r="U152" i="48" s="1"/>
  <c r="AK84" i="48"/>
  <c r="L63" i="46"/>
  <c r="Q139" i="48"/>
  <c r="Q106" i="48"/>
  <c r="Q91" i="48"/>
  <c r="L71" i="41"/>
  <c r="C54" i="41" s="1"/>
  <c r="L63" i="45"/>
  <c r="AJ84" i="48"/>
  <c r="P13" i="43"/>
  <c r="U54" i="48"/>
  <c r="U55" i="48" s="1"/>
  <c r="U56" i="48"/>
  <c r="U57" i="48" s="1"/>
  <c r="H53" i="39"/>
  <c r="E34" i="39"/>
  <c r="E179" i="48"/>
  <c r="AJ59" i="48"/>
  <c r="I3" i="47"/>
  <c r="I15" i="47" s="1"/>
  <c r="AG59" i="48"/>
  <c r="F3" i="47"/>
  <c r="F15" i="47" s="1"/>
  <c r="E153" i="48"/>
  <c r="R101" i="48" s="1"/>
  <c r="G173" i="48"/>
  <c r="G182" i="48" s="1"/>
  <c r="H53" i="42"/>
  <c r="E34" i="42"/>
  <c r="K182" i="48"/>
  <c r="L71" i="46"/>
  <c r="C54" i="46" s="1"/>
  <c r="W56" i="48"/>
  <c r="W57" i="48" s="1"/>
  <c r="W54" i="48"/>
  <c r="W55" i="48" s="1"/>
  <c r="P16" i="39"/>
  <c r="U24" i="48"/>
  <c r="I45" i="37"/>
  <c r="J45" i="37"/>
  <c r="L71" i="45"/>
  <c r="C54" i="45" s="1"/>
  <c r="L71" i="43"/>
  <c r="C54" i="43" s="1"/>
  <c r="Q24" i="48"/>
  <c r="E45" i="37"/>
  <c r="U150" i="48"/>
  <c r="U146" i="48"/>
  <c r="U122" i="48"/>
  <c r="U123" i="48" s="1"/>
  <c r="U121" i="48"/>
  <c r="U110" i="48"/>
  <c r="U111" i="48" s="1"/>
  <c r="U109" i="48"/>
  <c r="U94" i="48"/>
  <c r="X54" i="48"/>
  <c r="X55" i="48" s="1"/>
  <c r="X56" i="48"/>
  <c r="X57" i="48" s="1"/>
  <c r="H53" i="41"/>
  <c r="E34" i="41"/>
  <c r="H183" i="48"/>
  <c r="U149" i="48" s="1"/>
  <c r="U153" i="48" s="1"/>
  <c r="H53" i="45"/>
  <c r="E34" i="45"/>
  <c r="AI59" i="48"/>
  <c r="H3" i="47"/>
  <c r="H15" i="47" s="1"/>
  <c r="C3" i="46"/>
  <c r="O6" i="46" s="1"/>
  <c r="O9" i="46" s="1"/>
  <c r="C3" i="44"/>
  <c r="O6" i="44" s="1"/>
  <c r="O9" i="44" s="1"/>
  <c r="C3" i="45"/>
  <c r="O6" i="45" s="1"/>
  <c r="O9" i="45" s="1"/>
  <c r="W24" i="48"/>
  <c r="W27" i="48" s="1"/>
  <c r="M45" i="37"/>
  <c r="C46" i="44"/>
  <c r="T146" i="48"/>
  <c r="R150" i="48"/>
  <c r="R146" i="48"/>
  <c r="R109" i="48"/>
  <c r="R92" i="48"/>
  <c r="R93" i="48" s="1"/>
  <c r="R115" i="48"/>
  <c r="R122" i="48"/>
  <c r="R123" i="48" s="1"/>
  <c r="R121" i="48"/>
  <c r="R110" i="48"/>
  <c r="R111" i="48" s="1"/>
  <c r="S146" i="48"/>
  <c r="S94" i="48"/>
  <c r="R94" i="48"/>
  <c r="T94" i="48"/>
  <c r="P15" i="43"/>
  <c r="V24" i="48"/>
  <c r="L45" i="37"/>
  <c r="K45" i="37"/>
  <c r="E150" i="48"/>
  <c r="G177" i="48"/>
  <c r="C46" i="42"/>
  <c r="G178" i="48"/>
  <c r="T142" i="48" s="1"/>
  <c r="T150" i="48" s="1"/>
  <c r="P17" i="43"/>
  <c r="AD59" i="48"/>
  <c r="C3" i="47"/>
  <c r="C15" i="47" s="1"/>
  <c r="C3" i="39"/>
  <c r="O6" i="39" s="1"/>
  <c r="O9" i="39" s="1"/>
  <c r="I178" i="48"/>
  <c r="V142" i="48" s="1"/>
  <c r="Q56" i="48"/>
  <c r="Q57" i="48" s="1"/>
  <c r="Q54" i="48"/>
  <c r="Q55" i="48" s="1"/>
  <c r="I173" i="48"/>
  <c r="G153" i="48"/>
  <c r="T134" i="48" s="1"/>
  <c r="R56" i="48"/>
  <c r="R57" i="48" s="1"/>
  <c r="R54" i="48"/>
  <c r="R55" i="48" s="1"/>
  <c r="P20" i="39"/>
  <c r="P20" i="43"/>
  <c r="P11" i="42"/>
  <c r="U139" i="48"/>
  <c r="U91" i="48"/>
  <c r="U106" i="48"/>
  <c r="U101" i="48"/>
  <c r="R91" i="48"/>
  <c r="R106" i="48"/>
  <c r="R139" i="48"/>
  <c r="C46" i="43"/>
  <c r="D153" i="48"/>
  <c r="Q152" i="48" s="1"/>
  <c r="P11" i="43"/>
  <c r="P17" i="40"/>
  <c r="H179" i="48"/>
  <c r="U92" i="48" s="1"/>
  <c r="U93" i="48" s="1"/>
  <c r="I154" i="48"/>
  <c r="H53" i="40"/>
  <c r="E34" i="40"/>
  <c r="AE59" i="48"/>
  <c r="D3" i="47"/>
  <c r="D15" i="47" s="1"/>
  <c r="C3" i="42"/>
  <c r="O6" i="42" s="1"/>
  <c r="O9" i="42" s="1"/>
  <c r="C3" i="40"/>
  <c r="O6" i="40" s="1"/>
  <c r="O9" i="40" s="1"/>
  <c r="C3" i="41"/>
  <c r="O6" i="41" s="1"/>
  <c r="O9" i="41" s="1"/>
  <c r="P11" i="44"/>
  <c r="P12" i="43"/>
  <c r="X39" i="48"/>
  <c r="X42" i="48" s="1"/>
  <c r="X38" i="48"/>
  <c r="X33" i="48"/>
  <c r="X40" i="48"/>
  <c r="H53" i="44"/>
  <c r="E34" i="44"/>
  <c r="C46" i="39"/>
  <c r="AK59" i="48"/>
  <c r="J3" i="47"/>
  <c r="J15" i="47" s="1"/>
  <c r="E182" i="48"/>
  <c r="R149" i="48" s="1"/>
  <c r="R153" i="48" s="1"/>
  <c r="L71" i="40"/>
  <c r="C54" i="40" s="1"/>
  <c r="V54" i="48"/>
  <c r="V55" i="48" s="1"/>
  <c r="V56" i="48"/>
  <c r="V57" i="48" s="1"/>
  <c r="H53" i="46"/>
  <c r="E34" i="46"/>
  <c r="I153" i="48"/>
  <c r="H29" i="11"/>
  <c r="D26" i="11"/>
  <c r="D25" i="11"/>
  <c r="D18" i="11"/>
  <c r="D11" i="11"/>
  <c r="D10" i="11"/>
  <c r="D9" i="11"/>
  <c r="V101" i="48" l="1"/>
  <c r="X47" i="48"/>
  <c r="AK76" i="48" s="1"/>
  <c r="L77" i="46" s="1"/>
  <c r="D49" i="46" s="1"/>
  <c r="P9" i="42"/>
  <c r="F183" i="48"/>
  <c r="U134" i="48"/>
  <c r="W134" i="48"/>
  <c r="R58" i="48"/>
  <c r="AE81" i="48" s="1"/>
  <c r="L82" i="40" s="1"/>
  <c r="D54" i="40" s="1"/>
  <c r="E54" i="40" s="1"/>
  <c r="R112" i="48"/>
  <c r="D182" i="48"/>
  <c r="Q149" i="48" s="1"/>
  <c r="Q153" i="48" s="1"/>
  <c r="Q154" i="48" s="1"/>
  <c r="AD80" i="48" s="1"/>
  <c r="L81" i="39" s="1"/>
  <c r="D53" i="39" s="1"/>
  <c r="U151" i="48"/>
  <c r="AG69" i="48" s="1"/>
  <c r="T152" i="48"/>
  <c r="S101" i="48"/>
  <c r="T58" i="48"/>
  <c r="AF81" i="48" s="1"/>
  <c r="P9" i="44"/>
  <c r="P9" i="46"/>
  <c r="X101" i="48"/>
  <c r="J179" i="48"/>
  <c r="R124" i="48"/>
  <c r="F179" i="48"/>
  <c r="U99" i="48"/>
  <c r="U98" i="48"/>
  <c r="U95" i="48"/>
  <c r="U96" i="48" s="1"/>
  <c r="U97" i="48"/>
  <c r="E46" i="44"/>
  <c r="U154" i="48"/>
  <c r="V81" i="48"/>
  <c r="V83" i="48" s="1"/>
  <c r="X69" i="48"/>
  <c r="W69" i="48"/>
  <c r="V69" i="48"/>
  <c r="X81" i="48"/>
  <c r="X83" i="48" s="1"/>
  <c r="V27" i="48"/>
  <c r="W81" i="48"/>
  <c r="W83" i="48" s="1"/>
  <c r="H55" i="43"/>
  <c r="G32" i="47"/>
  <c r="S151" i="48"/>
  <c r="AK85" i="48"/>
  <c r="L64" i="46"/>
  <c r="C47" i="46" s="1"/>
  <c r="E47" i="46" s="1"/>
  <c r="W152" i="48"/>
  <c r="C32" i="47"/>
  <c r="H55" i="39"/>
  <c r="C46" i="46"/>
  <c r="V58" i="48"/>
  <c r="AI81" i="48" s="1"/>
  <c r="E46" i="39"/>
  <c r="E46" i="43"/>
  <c r="R134" i="48"/>
  <c r="X150" i="48"/>
  <c r="X146" i="48"/>
  <c r="X122" i="48"/>
  <c r="X123" i="48" s="1"/>
  <c r="X121" i="48"/>
  <c r="X110" i="48"/>
  <c r="X111" i="48" s="1"/>
  <c r="X109" i="48"/>
  <c r="W150" i="48"/>
  <c r="W146" i="48"/>
  <c r="W122" i="48"/>
  <c r="W123" i="48" s="1"/>
  <c r="W121" i="48"/>
  <c r="W110" i="48"/>
  <c r="W111" i="48" s="1"/>
  <c r="W109" i="48"/>
  <c r="V146" i="48"/>
  <c r="V121" i="48"/>
  <c r="V110" i="48"/>
  <c r="V111" i="48" s="1"/>
  <c r="V150" i="48"/>
  <c r="V109" i="48"/>
  <c r="V122" i="48"/>
  <c r="V123" i="48" s="1"/>
  <c r="W94" i="48"/>
  <c r="V94" i="48"/>
  <c r="X94" i="48"/>
  <c r="I182" i="48"/>
  <c r="W29" i="48"/>
  <c r="W30" i="48" s="1"/>
  <c r="W34" i="48"/>
  <c r="W35" i="48" s="1"/>
  <c r="W32" i="48"/>
  <c r="I32" i="47"/>
  <c r="H55" i="45"/>
  <c r="U58" i="48"/>
  <c r="Q101" i="48"/>
  <c r="S58" i="48"/>
  <c r="C46" i="40"/>
  <c r="S33" i="48"/>
  <c r="S39" i="48"/>
  <c r="S42" i="48" s="1"/>
  <c r="S38" i="48"/>
  <c r="S40" i="48"/>
  <c r="T34" i="48"/>
  <c r="T35" i="48" s="1"/>
  <c r="T32" i="48"/>
  <c r="T29" i="48"/>
  <c r="T30" i="48" s="1"/>
  <c r="S152" i="48"/>
  <c r="AK86" i="48"/>
  <c r="L65" i="46"/>
  <c r="C48" i="46" s="1"/>
  <c r="E48" i="46" s="1"/>
  <c r="V152" i="48"/>
  <c r="X134" i="48"/>
  <c r="X41" i="48"/>
  <c r="X36" i="48"/>
  <c r="X37" i="48" s="1"/>
  <c r="X46" i="48" s="1"/>
  <c r="AK65" i="48" s="1"/>
  <c r="D32" i="47"/>
  <c r="H55" i="40"/>
  <c r="T101" i="48"/>
  <c r="Q58" i="48"/>
  <c r="AD81" i="48" s="1"/>
  <c r="I183" i="48"/>
  <c r="U112" i="48"/>
  <c r="P9" i="40"/>
  <c r="C46" i="41"/>
  <c r="T151" i="48"/>
  <c r="AF69" i="48" s="1"/>
  <c r="J32" i="47"/>
  <c r="H55" i="46"/>
  <c r="X58" i="48"/>
  <c r="AK81" i="48" s="1"/>
  <c r="H32" i="47"/>
  <c r="H55" i="44"/>
  <c r="E46" i="42"/>
  <c r="R118" i="48"/>
  <c r="R120" i="48" s="1"/>
  <c r="R117" i="48"/>
  <c r="Q69" i="48"/>
  <c r="Q81" i="48"/>
  <c r="Q83" i="48" s="1"/>
  <c r="Q27" i="48"/>
  <c r="U81" i="48"/>
  <c r="U83" i="48" s="1"/>
  <c r="U69" i="48"/>
  <c r="U27" i="48"/>
  <c r="Q134" i="48"/>
  <c r="P9" i="43"/>
  <c r="S134" i="48"/>
  <c r="W101" i="48"/>
  <c r="X152" i="48"/>
  <c r="R152" i="48"/>
  <c r="R154" i="48" s="1"/>
  <c r="AE80" i="48" s="1"/>
  <c r="L81" i="40" s="1"/>
  <c r="D53" i="40" s="1"/>
  <c r="U141" i="48"/>
  <c r="U126" i="48"/>
  <c r="U127" i="48" s="1"/>
  <c r="U128" i="48" s="1"/>
  <c r="R151" i="48"/>
  <c r="AE69" i="48" s="1"/>
  <c r="G179" i="48"/>
  <c r="T115" i="48" s="1"/>
  <c r="U115" i="48"/>
  <c r="P9" i="45"/>
  <c r="R141" i="48"/>
  <c r="R126" i="48"/>
  <c r="R127" i="48" s="1"/>
  <c r="R128" i="48" s="1"/>
  <c r="T81" i="48"/>
  <c r="T83" i="48" s="1"/>
  <c r="S81" i="48"/>
  <c r="S83" i="48" s="1"/>
  <c r="T69" i="48"/>
  <c r="S69" i="48"/>
  <c r="R27" i="48"/>
  <c r="R69" i="48"/>
  <c r="R81" i="48"/>
  <c r="R83" i="48" s="1"/>
  <c r="Q150" i="48"/>
  <c r="Q146" i="48"/>
  <c r="Q122" i="48"/>
  <c r="Q123" i="48" s="1"/>
  <c r="Q121" i="48"/>
  <c r="Q110" i="48"/>
  <c r="Q111" i="48" s="1"/>
  <c r="Q109" i="48"/>
  <c r="Q94" i="48"/>
  <c r="P9" i="41"/>
  <c r="V134" i="48"/>
  <c r="I179" i="48"/>
  <c r="W115" i="48" s="1"/>
  <c r="T122" i="48"/>
  <c r="T123" i="48" s="1"/>
  <c r="T121" i="48"/>
  <c r="T110" i="48"/>
  <c r="T111" i="48" s="1"/>
  <c r="T109" i="48"/>
  <c r="S122" i="48"/>
  <c r="S123" i="48" s="1"/>
  <c r="S110" i="48"/>
  <c r="S111" i="48" s="1"/>
  <c r="S109" i="48"/>
  <c r="S121" i="48"/>
  <c r="R98" i="48"/>
  <c r="R97" i="48"/>
  <c r="R95" i="48"/>
  <c r="R96" i="48" s="1"/>
  <c r="AE67" i="48" s="1"/>
  <c r="R99" i="48"/>
  <c r="E32" i="47"/>
  <c r="H55" i="41"/>
  <c r="U124" i="48"/>
  <c r="W58" i="48"/>
  <c r="AJ81" i="48" s="1"/>
  <c r="H55" i="42"/>
  <c r="F32" i="47"/>
  <c r="C46" i="45"/>
  <c r="P9" i="39"/>
  <c r="D179" i="48"/>
  <c r="Q115" i="48" s="1"/>
  <c r="G183" i="48"/>
  <c r="T149" i="48" s="1"/>
  <c r="T153" i="48" s="1"/>
  <c r="G9" i="2"/>
  <c r="T92" i="48" l="1"/>
  <c r="T93" i="48" s="1"/>
  <c r="AH69" i="48"/>
  <c r="S47" i="48"/>
  <c r="V124" i="48"/>
  <c r="T112" i="48"/>
  <c r="AE92" i="48"/>
  <c r="S115" i="48"/>
  <c r="S117" i="48" s="1"/>
  <c r="S92" i="48"/>
  <c r="S93" i="48" s="1"/>
  <c r="S98" i="48" s="1"/>
  <c r="T154" i="48"/>
  <c r="AF80" i="48" s="1"/>
  <c r="L81" i="41" s="1"/>
  <c r="D53" i="41" s="1"/>
  <c r="X151" i="48"/>
  <c r="AK69" i="48" s="1"/>
  <c r="Q151" i="48"/>
  <c r="AD69" i="48" s="1"/>
  <c r="AD91" i="48" s="1"/>
  <c r="W151" i="48"/>
  <c r="AJ69" i="48" s="1"/>
  <c r="L70" i="45" s="1"/>
  <c r="C53" i="45" s="1"/>
  <c r="V151" i="48"/>
  <c r="AI69" i="48" s="1"/>
  <c r="L70" i="44" s="1"/>
  <c r="C53" i="44" s="1"/>
  <c r="X115" i="48"/>
  <c r="X118" i="48" s="1"/>
  <c r="X120" i="48" s="1"/>
  <c r="L82" i="41"/>
  <c r="D54" i="41" s="1"/>
  <c r="E54" i="41" s="1"/>
  <c r="AF92" i="48"/>
  <c r="T124" i="48"/>
  <c r="S112" i="48"/>
  <c r="V112" i="48"/>
  <c r="L68" i="40"/>
  <c r="C51" i="40" s="1"/>
  <c r="L70" i="46"/>
  <c r="C53" i="46" s="1"/>
  <c r="Q72" i="48"/>
  <c r="Q74" i="48" s="1"/>
  <c r="Q71" i="48"/>
  <c r="W118" i="48"/>
  <c r="W120" i="48" s="1"/>
  <c r="W117" i="48"/>
  <c r="V85" i="48"/>
  <c r="V84" i="48"/>
  <c r="X141" i="48"/>
  <c r="X126" i="48"/>
  <c r="X127" i="48" s="1"/>
  <c r="X128" i="48" s="1"/>
  <c r="W141" i="48"/>
  <c r="W126" i="48"/>
  <c r="W127" i="48" s="1"/>
  <c r="W128" i="48" s="1"/>
  <c r="V126" i="48"/>
  <c r="V127" i="48" s="1"/>
  <c r="V128" i="48" s="1"/>
  <c r="V141" i="48"/>
  <c r="Q124" i="48"/>
  <c r="S71" i="48"/>
  <c r="S72" i="48"/>
  <c r="S74" i="48" s="1"/>
  <c r="L70" i="41"/>
  <c r="C53" i="41" s="1"/>
  <c r="AH81" i="48"/>
  <c r="AG81" i="48"/>
  <c r="W124" i="48"/>
  <c r="X124" i="48"/>
  <c r="AH80" i="48"/>
  <c r="L81" i="43" s="1"/>
  <c r="D53" i="43" s="1"/>
  <c r="AG80" i="48"/>
  <c r="L81" i="42" s="1"/>
  <c r="D53" i="42" s="1"/>
  <c r="L66" i="46"/>
  <c r="C49" i="46" s="1"/>
  <c r="E49" i="46" s="1"/>
  <c r="AK87" i="48"/>
  <c r="R100" i="48"/>
  <c r="R102" i="48" s="1"/>
  <c r="AE78" i="48" s="1"/>
  <c r="L79" i="40" s="1"/>
  <c r="D51" i="40" s="1"/>
  <c r="S118" i="48"/>
  <c r="S120" i="48" s="1"/>
  <c r="T72" i="48"/>
  <c r="T74" i="48" s="1"/>
  <c r="T71" i="48"/>
  <c r="U118" i="48"/>
  <c r="U120" i="48" s="1"/>
  <c r="U117" i="48"/>
  <c r="L70" i="43"/>
  <c r="C53" i="43" s="1"/>
  <c r="U34" i="48"/>
  <c r="U35" i="48" s="1"/>
  <c r="U32" i="48"/>
  <c r="U29" i="48"/>
  <c r="U30" i="48" s="1"/>
  <c r="L82" i="39"/>
  <c r="D54" i="39" s="1"/>
  <c r="E54" i="39" s="1"/>
  <c r="AD92" i="48"/>
  <c r="V115" i="48"/>
  <c r="W84" i="48"/>
  <c r="W85" i="48"/>
  <c r="R34" i="48"/>
  <c r="R35" i="48" s="1"/>
  <c r="R32" i="48"/>
  <c r="R29" i="48"/>
  <c r="R30" i="48" s="1"/>
  <c r="L82" i="45"/>
  <c r="D54" i="45" s="1"/>
  <c r="E54" i="45" s="1"/>
  <c r="AJ92" i="48"/>
  <c r="AH67" i="48"/>
  <c r="AG67" i="48"/>
  <c r="S85" i="48"/>
  <c r="S84" i="48"/>
  <c r="T141" i="48"/>
  <c r="T126" i="48"/>
  <c r="T127" i="48" s="1"/>
  <c r="T128" i="48" s="1"/>
  <c r="S141" i="48"/>
  <c r="S126" i="48"/>
  <c r="S127" i="48" s="1"/>
  <c r="S128" i="48" s="1"/>
  <c r="AG91" i="48"/>
  <c r="L70" i="42"/>
  <c r="C53" i="42" s="1"/>
  <c r="U72" i="48"/>
  <c r="U74" i="48" s="1"/>
  <c r="U71" i="48"/>
  <c r="V92" i="48"/>
  <c r="V93" i="48" s="1"/>
  <c r="L82" i="44"/>
  <c r="D54" i="44" s="1"/>
  <c r="E54" i="44" s="1"/>
  <c r="AI92" i="48"/>
  <c r="V32" i="48"/>
  <c r="V34" i="48"/>
  <c r="V35" i="48" s="1"/>
  <c r="V29" i="48"/>
  <c r="V30" i="48" s="1"/>
  <c r="U100" i="48"/>
  <c r="U102" i="48" s="1"/>
  <c r="R72" i="48"/>
  <c r="R74" i="48" s="1"/>
  <c r="R71" i="48"/>
  <c r="X149" i="48"/>
  <c r="X153" i="48" s="1"/>
  <c r="X154" i="48" s="1"/>
  <c r="AK80" i="48" s="1"/>
  <c r="L81" i="46" s="1"/>
  <c r="D53" i="46" s="1"/>
  <c r="W149" i="48"/>
  <c r="W153" i="48" s="1"/>
  <c r="W154" i="48" s="1"/>
  <c r="AJ80" i="48" s="1"/>
  <c r="V149" i="48"/>
  <c r="V153" i="48" s="1"/>
  <c r="V154" i="48" s="1"/>
  <c r="AI80" i="48" s="1"/>
  <c r="X72" i="48"/>
  <c r="X74" i="48" s="1"/>
  <c r="X71" i="48"/>
  <c r="Q118" i="48"/>
  <c r="Q120" i="48" s="1"/>
  <c r="Q117" i="48"/>
  <c r="T85" i="48"/>
  <c r="T84" i="48"/>
  <c r="AE91" i="48"/>
  <c r="L70" i="40"/>
  <c r="C53" i="40" s="1"/>
  <c r="E53" i="40" s="1"/>
  <c r="U84" i="48"/>
  <c r="U85" i="48"/>
  <c r="S36" i="48"/>
  <c r="S37" i="48" s="1"/>
  <c r="S46" i="48" s="1"/>
  <c r="S41" i="48"/>
  <c r="W40" i="48"/>
  <c r="W39" i="48"/>
  <c r="W42" i="48" s="1"/>
  <c r="W38" i="48"/>
  <c r="W33" i="48"/>
  <c r="X92" i="48"/>
  <c r="X93" i="48" s="1"/>
  <c r="W92" i="48"/>
  <c r="W93" i="48" s="1"/>
  <c r="X85" i="48"/>
  <c r="X84" i="48"/>
  <c r="Q141" i="48"/>
  <c r="Q126" i="48"/>
  <c r="Q127" i="48" s="1"/>
  <c r="Q128" i="48" s="1"/>
  <c r="Q92" i="48"/>
  <c r="Q93" i="48" s="1"/>
  <c r="U132" i="48"/>
  <c r="U133" i="48" s="1"/>
  <c r="U129" i="48"/>
  <c r="Q29" i="48"/>
  <c r="Q30" i="48" s="1"/>
  <c r="Q32" i="48"/>
  <c r="Q34" i="48"/>
  <c r="Q35" i="48" s="1"/>
  <c r="E46" i="41"/>
  <c r="V72" i="48"/>
  <c r="V74" i="48" s="1"/>
  <c r="V71" i="48"/>
  <c r="S149" i="48"/>
  <c r="S153" i="48" s="1"/>
  <c r="S154" i="48" s="1"/>
  <c r="T99" i="48"/>
  <c r="T98" i="48"/>
  <c r="T97" i="48"/>
  <c r="T95" i="48"/>
  <c r="T96" i="48" s="1"/>
  <c r="AF67" i="48" s="1"/>
  <c r="T33" i="48"/>
  <c r="T38" i="48"/>
  <c r="T40" i="48"/>
  <c r="T39" i="48"/>
  <c r="T42" i="48" s="1"/>
  <c r="E46" i="45"/>
  <c r="R119" i="48"/>
  <c r="R135" i="48" s="1"/>
  <c r="AE79" i="48" s="1"/>
  <c r="L80" i="40" s="1"/>
  <c r="D52" i="40" s="1"/>
  <c r="R131" i="48"/>
  <c r="AE68" i="48" s="1"/>
  <c r="S124" i="48"/>
  <c r="T118" i="48"/>
  <c r="T120" i="48" s="1"/>
  <c r="T117" i="48"/>
  <c r="Q112" i="48"/>
  <c r="R85" i="48"/>
  <c r="R84" i="48"/>
  <c r="R132" i="48"/>
  <c r="R133" i="48" s="1"/>
  <c r="R129" i="48"/>
  <c r="Q85" i="48"/>
  <c r="Q84" i="48"/>
  <c r="L82" i="46"/>
  <c r="D54" i="46" s="1"/>
  <c r="E54" i="46" s="1"/>
  <c r="AK92" i="48"/>
  <c r="AF63" i="48"/>
  <c r="AF64" i="48"/>
  <c r="E46" i="40"/>
  <c r="AJ64" i="48"/>
  <c r="AJ63" i="48"/>
  <c r="W112" i="48"/>
  <c r="X112" i="48"/>
  <c r="E46" i="46"/>
  <c r="W72" i="48"/>
  <c r="W74" i="48" s="1"/>
  <c r="W71" i="48"/>
  <c r="E10" i="2"/>
  <c r="E51" i="40" l="1"/>
  <c r="T100" i="48"/>
  <c r="T102" i="48" s="1"/>
  <c r="AF78" i="48" s="1"/>
  <c r="L79" i="41" s="1"/>
  <c r="D51" i="41" s="1"/>
  <c r="S95" i="48"/>
  <c r="S96" i="48" s="1"/>
  <c r="S97" i="48"/>
  <c r="S99" i="48"/>
  <c r="S100" i="48" s="1"/>
  <c r="S102" i="48" s="1"/>
  <c r="AH91" i="48"/>
  <c r="E53" i="41"/>
  <c r="AF91" i="48"/>
  <c r="X117" i="48"/>
  <c r="X131" i="48" s="1"/>
  <c r="AK68" i="48" s="1"/>
  <c r="L70" i="39"/>
  <c r="C53" i="39" s="1"/>
  <c r="E53" i="39" s="1"/>
  <c r="E53" i="46"/>
  <c r="T47" i="48"/>
  <c r="AF76" i="48" s="1"/>
  <c r="L77" i="41" s="1"/>
  <c r="D49" i="41" s="1"/>
  <c r="L81" i="45"/>
  <c r="D53" i="45" s="1"/>
  <c r="E53" i="45" s="1"/>
  <c r="AJ91" i="48"/>
  <c r="L81" i="44"/>
  <c r="D53" i="44" s="1"/>
  <c r="E53" i="44" s="1"/>
  <c r="AI91" i="48"/>
  <c r="S131" i="48"/>
  <c r="S119" i="48"/>
  <c r="S135" i="48" s="1"/>
  <c r="Q73" i="48"/>
  <c r="Q87" i="48"/>
  <c r="AD77" i="48" s="1"/>
  <c r="L78" i="39" s="1"/>
  <c r="D50" i="39" s="1"/>
  <c r="Q86" i="48"/>
  <c r="AD66" i="48" s="1"/>
  <c r="L68" i="42"/>
  <c r="C51" i="42" s="1"/>
  <c r="AF85" i="48"/>
  <c r="L64" i="41"/>
  <c r="L68" i="41"/>
  <c r="C51" i="41" s="1"/>
  <c r="E51" i="41" s="1"/>
  <c r="AD63" i="48"/>
  <c r="AD64" i="48"/>
  <c r="Q132" i="48"/>
  <c r="Q133" i="48" s="1"/>
  <c r="Q129" i="48"/>
  <c r="V40" i="48"/>
  <c r="V39" i="48"/>
  <c r="V42" i="48" s="1"/>
  <c r="V38" i="48"/>
  <c r="V33" i="48"/>
  <c r="L68" i="43"/>
  <c r="C51" i="43" s="1"/>
  <c r="L82" i="42"/>
  <c r="D54" i="42" s="1"/>
  <c r="E54" i="42" s="1"/>
  <c r="AG92" i="48"/>
  <c r="V132" i="48"/>
  <c r="V133" i="48" s="1"/>
  <c r="V129" i="48"/>
  <c r="X99" i="48"/>
  <c r="X98" i="48"/>
  <c r="X97" i="48"/>
  <c r="X95" i="48"/>
  <c r="X96" i="48" s="1"/>
  <c r="AK67" i="48" s="1"/>
  <c r="U33" i="48"/>
  <c r="U40" i="48"/>
  <c r="U38" i="48"/>
  <c r="U39" i="48"/>
  <c r="U42" i="48" s="1"/>
  <c r="AF86" i="48"/>
  <c r="L65" i="41"/>
  <c r="C48" i="41" s="1"/>
  <c r="E48" i="41" s="1"/>
  <c r="W47" i="48"/>
  <c r="AJ76" i="48" s="1"/>
  <c r="L77" i="45" s="1"/>
  <c r="D49" i="45" s="1"/>
  <c r="S129" i="48"/>
  <c r="S132" i="48"/>
  <c r="S133" i="48" s="1"/>
  <c r="V117" i="48"/>
  <c r="V118" i="48"/>
  <c r="V120" i="48" s="1"/>
  <c r="L82" i="43"/>
  <c r="D54" i="43" s="1"/>
  <c r="E54" i="43" s="1"/>
  <c r="AH92" i="48"/>
  <c r="W132" i="48"/>
  <c r="W133" i="48" s="1"/>
  <c r="W129" i="48"/>
  <c r="X86" i="48"/>
  <c r="AK66" i="48" s="1"/>
  <c r="X87" i="48"/>
  <c r="AK77" i="48" s="1"/>
  <c r="L78" i="46" s="1"/>
  <c r="D50" i="46" s="1"/>
  <c r="X73" i="48"/>
  <c r="U135" i="48"/>
  <c r="U131" i="48"/>
  <c r="U119" i="48"/>
  <c r="AK91" i="48"/>
  <c r="AE90" i="48"/>
  <c r="L69" i="40"/>
  <c r="C52" i="40" s="1"/>
  <c r="E52" i="40" s="1"/>
  <c r="T41" i="48"/>
  <c r="T36" i="48"/>
  <c r="T37" i="48" s="1"/>
  <c r="T46" i="48" s="1"/>
  <c r="AF65" i="48" s="1"/>
  <c r="Q38" i="48"/>
  <c r="Q40" i="48"/>
  <c r="Q39" i="48"/>
  <c r="Q42" i="48" s="1"/>
  <c r="Q33" i="48"/>
  <c r="W41" i="48"/>
  <c r="W36" i="48"/>
  <c r="W37" i="48" s="1"/>
  <c r="W46" i="48" s="1"/>
  <c r="AJ65" i="48" s="1"/>
  <c r="T131" i="48"/>
  <c r="AF68" i="48" s="1"/>
  <c r="T119" i="48"/>
  <c r="T135" i="48" s="1"/>
  <c r="AF79" i="48" s="1"/>
  <c r="L80" i="41" s="1"/>
  <c r="D52" i="41" s="1"/>
  <c r="W87" i="48"/>
  <c r="AJ77" i="48" s="1"/>
  <c r="L78" i="45" s="1"/>
  <c r="D50" i="45" s="1"/>
  <c r="W86" i="48"/>
  <c r="AJ66" i="48" s="1"/>
  <c r="W73" i="48"/>
  <c r="AJ86" i="48"/>
  <c r="L65" i="45"/>
  <c r="C48" i="45" s="1"/>
  <c r="E48" i="45" s="1"/>
  <c r="Q99" i="48"/>
  <c r="Q98" i="48"/>
  <c r="Q97" i="48"/>
  <c r="Q95" i="48"/>
  <c r="Q96" i="48" s="1"/>
  <c r="AD67" i="48" s="1"/>
  <c r="R87" i="48"/>
  <c r="AE77" i="48" s="1"/>
  <c r="L78" i="40" s="1"/>
  <c r="D50" i="40" s="1"/>
  <c r="R86" i="48"/>
  <c r="AE66" i="48" s="1"/>
  <c r="R73" i="48"/>
  <c r="V99" i="48"/>
  <c r="V98" i="48"/>
  <c r="V97" i="48"/>
  <c r="V95" i="48"/>
  <c r="V96" i="48" s="1"/>
  <c r="AI67" i="48" s="1"/>
  <c r="T132" i="48"/>
  <c r="T133" i="48" s="1"/>
  <c r="T129" i="48"/>
  <c r="AE63" i="48"/>
  <c r="AE64" i="48"/>
  <c r="E53" i="42"/>
  <c r="X132" i="48"/>
  <c r="X133" i="48" s="1"/>
  <c r="X129" i="48"/>
  <c r="W135" i="48"/>
  <c r="AJ79" i="48" s="1"/>
  <c r="L80" i="45" s="1"/>
  <c r="D52" i="45" s="1"/>
  <c r="W131" i="48"/>
  <c r="AJ68" i="48" s="1"/>
  <c r="W119" i="48"/>
  <c r="AJ85" i="48"/>
  <c r="L64" i="45"/>
  <c r="Q135" i="48"/>
  <c r="AD79" i="48" s="1"/>
  <c r="L80" i="39" s="1"/>
  <c r="D52" i="39" s="1"/>
  <c r="Q131" i="48"/>
  <c r="AD68" i="48" s="1"/>
  <c r="Q119" i="48"/>
  <c r="R40" i="48"/>
  <c r="R39" i="48"/>
  <c r="R42" i="48" s="1"/>
  <c r="R33" i="48"/>
  <c r="R38" i="48"/>
  <c r="T87" i="48"/>
  <c r="AF77" i="48" s="1"/>
  <c r="L78" i="41" s="1"/>
  <c r="D50" i="41" s="1"/>
  <c r="T86" i="48"/>
  <c r="AF66" i="48" s="1"/>
  <c r="T73" i="48"/>
  <c r="E53" i="43"/>
  <c r="AE89" i="48"/>
  <c r="AI64" i="48"/>
  <c r="AI63" i="48"/>
  <c r="V87" i="48"/>
  <c r="AI77" i="48" s="1"/>
  <c r="L78" i="44" s="1"/>
  <c r="D50" i="44" s="1"/>
  <c r="V73" i="48"/>
  <c r="V86" i="48"/>
  <c r="AI66" i="48" s="1"/>
  <c r="W99" i="48"/>
  <c r="W98" i="48"/>
  <c r="W95" i="48"/>
  <c r="W96" i="48" s="1"/>
  <c r="AJ67" i="48" s="1"/>
  <c r="W97" i="48"/>
  <c r="AG78" i="48"/>
  <c r="L79" i="42" s="1"/>
  <c r="D51" i="42" s="1"/>
  <c r="AH78" i="48"/>
  <c r="L79" i="43" s="1"/>
  <c r="D51" i="43" s="1"/>
  <c r="E51" i="43" s="1"/>
  <c r="U86" i="48"/>
  <c r="U73" i="48"/>
  <c r="U87" i="48"/>
  <c r="AG63" i="48"/>
  <c r="AH63" i="48"/>
  <c r="AG64" i="48"/>
  <c r="AH64" i="48"/>
  <c r="S86" i="48"/>
  <c r="S73" i="48"/>
  <c r="S87" i="48"/>
  <c r="E9" i="2"/>
  <c r="F9" i="2"/>
  <c r="W100" i="48" l="1"/>
  <c r="W102" i="48" s="1"/>
  <c r="AJ78" i="48" s="1"/>
  <c r="L79" i="45" s="1"/>
  <c r="D51" i="45" s="1"/>
  <c r="AF89" i="48"/>
  <c r="U47" i="48"/>
  <c r="AH76" i="48" s="1"/>
  <c r="L77" i="43" s="1"/>
  <c r="D49" i="43" s="1"/>
  <c r="X135" i="48"/>
  <c r="AK79" i="48" s="1"/>
  <c r="L80" i="46" s="1"/>
  <c r="D52" i="46" s="1"/>
  <c r="V100" i="48"/>
  <c r="V102" i="48" s="1"/>
  <c r="AI78" i="48" s="1"/>
  <c r="L79" i="44" s="1"/>
  <c r="D51" i="44" s="1"/>
  <c r="X119" i="48"/>
  <c r="E51" i="42"/>
  <c r="I54" i="41"/>
  <c r="E35" i="47" s="1"/>
  <c r="E37" i="47" s="1"/>
  <c r="V47" i="48"/>
  <c r="AI76" i="48" s="1"/>
  <c r="L77" i="44" s="1"/>
  <c r="D49" i="44" s="1"/>
  <c r="R47" i="48"/>
  <c r="AE76" i="48" s="1"/>
  <c r="L77" i="40" s="1"/>
  <c r="D49" i="40" s="1"/>
  <c r="D56" i="40" s="1"/>
  <c r="Q47" i="48"/>
  <c r="AD76" i="48" s="1"/>
  <c r="L77" i="39" s="1"/>
  <c r="D49" i="39" s="1"/>
  <c r="AK88" i="48"/>
  <c r="L67" i="46"/>
  <c r="C47" i="41"/>
  <c r="AJ87" i="48"/>
  <c r="L66" i="45"/>
  <c r="C49" i="45" s="1"/>
  <c r="E49" i="45" s="1"/>
  <c r="AG76" i="48"/>
  <c r="L77" i="42" s="1"/>
  <c r="D49" i="42" s="1"/>
  <c r="AG86" i="48"/>
  <c r="L65" i="42"/>
  <c r="C48" i="42" s="1"/>
  <c r="E48" i="42" s="1"/>
  <c r="AI86" i="48"/>
  <c r="L65" i="44"/>
  <c r="C48" i="44" s="1"/>
  <c r="E48" i="44" s="1"/>
  <c r="C47" i="45"/>
  <c r="AE86" i="48"/>
  <c r="L65" i="40"/>
  <c r="C48" i="40" s="1"/>
  <c r="E48" i="40" s="1"/>
  <c r="AH85" i="48"/>
  <c r="L64" i="43"/>
  <c r="AJ89" i="48"/>
  <c r="L68" i="45"/>
  <c r="C51" i="45" s="1"/>
  <c r="E51" i="45" s="1"/>
  <c r="AE85" i="48"/>
  <c r="L64" i="40"/>
  <c r="AE88" i="48"/>
  <c r="L67" i="40"/>
  <c r="C50" i="40" s="1"/>
  <c r="E50" i="40" s="1"/>
  <c r="Q36" i="48"/>
  <c r="Q37" i="48" s="1"/>
  <c r="Q46" i="48" s="1"/>
  <c r="AD65" i="48" s="1"/>
  <c r="Q41" i="48"/>
  <c r="V119" i="48"/>
  <c r="V131" i="48"/>
  <c r="AI68" i="48" s="1"/>
  <c r="V135" i="48"/>
  <c r="AI79" i="48" s="1"/>
  <c r="L80" i="44" s="1"/>
  <c r="D52" i="44" s="1"/>
  <c r="AG85" i="48"/>
  <c r="L64" i="42"/>
  <c r="L67" i="45"/>
  <c r="C50" i="45" s="1"/>
  <c r="E50" i="45" s="1"/>
  <c r="AJ88" i="48"/>
  <c r="L69" i="46"/>
  <c r="C52" i="46" s="1"/>
  <c r="U41" i="48"/>
  <c r="U36" i="48"/>
  <c r="U37" i="48" s="1"/>
  <c r="U46" i="48" s="1"/>
  <c r="V41" i="48"/>
  <c r="V36" i="48"/>
  <c r="V37" i="48" s="1"/>
  <c r="V46" i="48" s="1"/>
  <c r="AI65" i="48" s="1"/>
  <c r="AH77" i="48"/>
  <c r="L78" i="43" s="1"/>
  <c r="D50" i="43" s="1"/>
  <c r="AG77" i="48"/>
  <c r="L78" i="42" s="1"/>
  <c r="D50" i="42" s="1"/>
  <c r="AD90" i="48"/>
  <c r="L69" i="39"/>
  <c r="C52" i="39" s="1"/>
  <c r="E52" i="39" s="1"/>
  <c r="AJ90" i="48"/>
  <c r="L69" i="45"/>
  <c r="C52" i="45" s="1"/>
  <c r="E52" i="45" s="1"/>
  <c r="L68" i="39"/>
  <c r="C51" i="39" s="1"/>
  <c r="AG68" i="48"/>
  <c r="AH68" i="48"/>
  <c r="L68" i="46"/>
  <c r="C51" i="46" s="1"/>
  <c r="AG89" i="48"/>
  <c r="AH86" i="48"/>
  <c r="L65" i="43"/>
  <c r="C48" i="43" s="1"/>
  <c r="E48" i="43" s="1"/>
  <c r="AI85" i="48"/>
  <c r="L64" i="44"/>
  <c r="AI88" i="48"/>
  <c r="L67" i="44"/>
  <c r="C50" i="44" s="1"/>
  <c r="E50" i="44" s="1"/>
  <c r="AF88" i="48"/>
  <c r="L67" i="41"/>
  <c r="C50" i="41" s="1"/>
  <c r="E50" i="41" s="1"/>
  <c r="L68" i="44"/>
  <c r="C51" i="44" s="1"/>
  <c r="AG79" i="48"/>
  <c r="L80" i="42" s="1"/>
  <c r="D52" i="42" s="1"/>
  <c r="AH79" i="48"/>
  <c r="L80" i="43" s="1"/>
  <c r="D52" i="43" s="1"/>
  <c r="I54" i="45"/>
  <c r="D56" i="45"/>
  <c r="AH89" i="48"/>
  <c r="AD86" i="48"/>
  <c r="L65" i="39"/>
  <c r="C48" i="39" s="1"/>
  <c r="E48" i="39" s="1"/>
  <c r="AD88" i="48"/>
  <c r="L67" i="39"/>
  <c r="C50" i="39" s="1"/>
  <c r="E50" i="39" s="1"/>
  <c r="R36" i="48"/>
  <c r="R37" i="48" s="1"/>
  <c r="R46" i="48" s="1"/>
  <c r="AE65" i="48" s="1"/>
  <c r="R41" i="48"/>
  <c r="AH66" i="48"/>
  <c r="AG66" i="48"/>
  <c r="D56" i="41"/>
  <c r="Q100" i="48"/>
  <c r="Q102" i="48" s="1"/>
  <c r="AD78" i="48" s="1"/>
  <c r="L79" i="39" s="1"/>
  <c r="D51" i="39" s="1"/>
  <c r="AF90" i="48"/>
  <c r="L69" i="41"/>
  <c r="C52" i="41" s="1"/>
  <c r="E52" i="41" s="1"/>
  <c r="AF87" i="48"/>
  <c r="L66" i="41"/>
  <c r="C49" i="41" s="1"/>
  <c r="E49" i="41" s="1"/>
  <c r="X100" i="48"/>
  <c r="X102" i="48" s="1"/>
  <c r="AK78" i="48" s="1"/>
  <c r="L79" i="46" s="1"/>
  <c r="D51" i="46" s="1"/>
  <c r="I54" i="46" s="1"/>
  <c r="AD85" i="48"/>
  <c r="L64" i="39"/>
  <c r="L15" i="17"/>
  <c r="I14" i="17"/>
  <c r="Q14" i="17" s="1"/>
  <c r="U14" i="17" s="1"/>
  <c r="T15" i="17" s="1"/>
  <c r="D15" i="18"/>
  <c r="I14" i="18"/>
  <c r="H15" i="18" s="1"/>
  <c r="E52" i="46" l="1"/>
  <c r="E51" i="44"/>
  <c r="J54" i="41"/>
  <c r="AI89" i="48"/>
  <c r="AK90" i="48"/>
  <c r="E51" i="39"/>
  <c r="I54" i="44"/>
  <c r="J54" i="44" s="1"/>
  <c r="I54" i="40"/>
  <c r="D35" i="47" s="1"/>
  <c r="D37" i="47" s="1"/>
  <c r="I54" i="39"/>
  <c r="C35" i="47" s="1"/>
  <c r="C37" i="47" s="1"/>
  <c r="AK89" i="48"/>
  <c r="AE87" i="48"/>
  <c r="L66" i="40"/>
  <c r="C49" i="40" s="1"/>
  <c r="E49" i="40" s="1"/>
  <c r="C50" i="46"/>
  <c r="M84" i="46"/>
  <c r="C47" i="44"/>
  <c r="AH90" i="48"/>
  <c r="L69" i="43"/>
  <c r="C52" i="43" s="1"/>
  <c r="AG65" i="48"/>
  <c r="AH65" i="48"/>
  <c r="C47" i="43"/>
  <c r="J35" i="47"/>
  <c r="J37" i="47" s="1"/>
  <c r="J54" i="46"/>
  <c r="AG90" i="48"/>
  <c r="L69" i="42"/>
  <c r="C52" i="42" s="1"/>
  <c r="E52" i="42" s="1"/>
  <c r="AD87" i="48"/>
  <c r="L66" i="39"/>
  <c r="C49" i="39" s="1"/>
  <c r="E49" i="39" s="1"/>
  <c r="E47" i="45"/>
  <c r="I53" i="45"/>
  <c r="C56" i="45"/>
  <c r="E56" i="45" s="1"/>
  <c r="C47" i="39"/>
  <c r="AG88" i="48"/>
  <c r="L67" i="42"/>
  <c r="C50" i="42" s="1"/>
  <c r="E50" i="42" s="1"/>
  <c r="C47" i="42"/>
  <c r="I54" i="43"/>
  <c r="D56" i="43"/>
  <c r="M84" i="41"/>
  <c r="AI90" i="48"/>
  <c r="L69" i="44"/>
  <c r="C52" i="44" s="1"/>
  <c r="E52" i="44" s="1"/>
  <c r="I54" i="42"/>
  <c r="D56" i="42"/>
  <c r="E47" i="41"/>
  <c r="I53" i="41"/>
  <c r="C56" i="41"/>
  <c r="E56" i="41" s="1"/>
  <c r="E52" i="43"/>
  <c r="E51" i="46"/>
  <c r="AH88" i="48"/>
  <c r="L67" i="43"/>
  <c r="C50" i="43" s="1"/>
  <c r="E50" i="43" s="1"/>
  <c r="I35" i="47"/>
  <c r="I37" i="47" s="1"/>
  <c r="J54" i="45"/>
  <c r="AD89" i="48"/>
  <c r="AI87" i="48"/>
  <c r="L66" i="44"/>
  <c r="C49" i="44" s="1"/>
  <c r="E49" i="44" s="1"/>
  <c r="D56" i="39"/>
  <c r="C47" i="40"/>
  <c r="M84" i="45"/>
  <c r="D56" i="46"/>
  <c r="D56" i="44"/>
  <c r="M14" i="18"/>
  <c r="P15" i="17"/>
  <c r="J54" i="40" l="1"/>
  <c r="H35" i="47"/>
  <c r="H37" i="47" s="1"/>
  <c r="J54" i="39"/>
  <c r="M84" i="39"/>
  <c r="M84" i="40"/>
  <c r="E47" i="43"/>
  <c r="J54" i="43"/>
  <c r="G35" i="47"/>
  <c r="G37" i="47" s="1"/>
  <c r="E47" i="39"/>
  <c r="C56" i="39"/>
  <c r="E56" i="39" s="1"/>
  <c r="I53" i="39"/>
  <c r="AH87" i="48"/>
  <c r="L66" i="43"/>
  <c r="C56" i="46"/>
  <c r="E56" i="46" s="1"/>
  <c r="I53" i="46"/>
  <c r="E50" i="46"/>
  <c r="AG87" i="48"/>
  <c r="L66" i="42"/>
  <c r="F35" i="47"/>
  <c r="F37" i="47" s="1"/>
  <c r="J54" i="42"/>
  <c r="I34" i="47"/>
  <c r="I36" i="47" s="1"/>
  <c r="I38" i="47" s="1"/>
  <c r="I55" i="45"/>
  <c r="J55" i="45" s="1"/>
  <c r="J53" i="45"/>
  <c r="E47" i="40"/>
  <c r="I53" i="40"/>
  <c r="C56" i="40"/>
  <c r="E56" i="40" s="1"/>
  <c r="E34" i="47"/>
  <c r="E36" i="47" s="1"/>
  <c r="E38" i="47" s="1"/>
  <c r="I55" i="41"/>
  <c r="J55" i="41" s="1"/>
  <c r="J53" i="41"/>
  <c r="E47" i="42"/>
  <c r="M84" i="44"/>
  <c r="E47" i="44"/>
  <c r="I53" i="44"/>
  <c r="C56" i="44"/>
  <c r="E56" i="44" s="1"/>
  <c r="Q14" i="18"/>
  <c r="L15" i="18"/>
  <c r="D34" i="47" l="1"/>
  <c r="D36" i="47" s="1"/>
  <c r="D38" i="47" s="1"/>
  <c r="I55" i="40"/>
  <c r="J55" i="40" s="1"/>
  <c r="J53" i="40"/>
  <c r="C49" i="42"/>
  <c r="M84" i="42"/>
  <c r="J34" i="47"/>
  <c r="J36" i="47" s="1"/>
  <c r="J38" i="47" s="1"/>
  <c r="J53" i="46"/>
  <c r="I55" i="46"/>
  <c r="J55" i="46" s="1"/>
  <c r="H34" i="47"/>
  <c r="H36" i="47" s="1"/>
  <c r="H38" i="47" s="1"/>
  <c r="I55" i="44"/>
  <c r="J55" i="44" s="1"/>
  <c r="J53" i="44"/>
  <c r="C49" i="43"/>
  <c r="M84" i="43"/>
  <c r="C34" i="47"/>
  <c r="C36" i="47" s="1"/>
  <c r="C38" i="47" s="1"/>
  <c r="J53" i="39"/>
  <c r="I55" i="39"/>
  <c r="J55" i="39" s="1"/>
  <c r="U14" i="18"/>
  <c r="T15" i="18" s="1"/>
  <c r="P15" i="18"/>
  <c r="E49" i="43" l="1"/>
  <c r="C56" i="43"/>
  <c r="E56" i="43" s="1"/>
  <c r="I53" i="43"/>
  <c r="E49" i="42"/>
  <c r="C56" i="42"/>
  <c r="E56" i="42" s="1"/>
  <c r="I53" i="42"/>
  <c r="D4" i="22"/>
  <c r="B4" i="22"/>
  <c r="C109" i="22"/>
  <c r="C7" i="22"/>
  <c r="C5" i="22"/>
  <c r="C83" i="22"/>
  <c r="C43" i="22"/>
  <c r="J53" i="42" l="1"/>
  <c r="I55" i="42"/>
  <c r="J55" i="42" s="1"/>
  <c r="F34" i="47"/>
  <c r="F36" i="47" s="1"/>
  <c r="F38" i="47" s="1"/>
  <c r="I55" i="43"/>
  <c r="J55" i="43" s="1"/>
  <c r="J53" i="43"/>
  <c r="G34" i="47"/>
  <c r="G36" i="47" s="1"/>
  <c r="G38" i="47" s="1"/>
  <c r="BE15" i="22"/>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H35" i="19" l="1"/>
  <c r="L35" i="19" s="1"/>
  <c r="P35" i="19" s="1"/>
  <c r="T35" i="19" s="1"/>
  <c r="D16" i="19"/>
  <c r="T15" i="19"/>
  <c r="P15" i="19"/>
  <c r="H15" i="19"/>
  <c r="D15" i="19"/>
  <c r="L15" i="19"/>
  <c r="U38" i="19"/>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T32" i="20"/>
  <c r="P32" i="20"/>
  <c r="L32" i="20"/>
  <c r="H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Q38" i="19"/>
  <c r="M38" i="19"/>
  <c r="I38" i="19"/>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C4" i="22" s="1"/>
  <c r="C110" i="22"/>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D34" i="8"/>
  <c r="U44" i="19"/>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C140" i="22"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G18" i="22" l="1"/>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K180" i="11" s="1"/>
  <c r="L34" i="22"/>
  <c r="J180" i="11"/>
  <c r="J181" i="11" s="1"/>
  <c r="BB168" i="11"/>
  <c r="BB173" i="11" s="1"/>
  <c r="N149" i="11"/>
  <c r="O30" i="22" s="1"/>
  <c r="O31" i="22" s="1"/>
  <c r="N30" i="22"/>
  <c r="N31" i="22" s="1"/>
  <c r="M27" i="22"/>
  <c r="M28" i="22" s="1"/>
  <c r="J161" i="11"/>
  <c r="J162" i="11" s="1"/>
  <c r="J157" i="11"/>
  <c r="K42" i="22" s="1"/>
  <c r="J159" i="11"/>
  <c r="J160" i="11" s="1"/>
  <c r="K39" i="22"/>
  <c r="K40" i="22" s="1"/>
  <c r="J176" i="11"/>
  <c r="J183" i="11" s="1"/>
  <c r="K161" i="11"/>
  <c r="M151" i="11"/>
  <c r="M153" i="11" s="1"/>
  <c r="M33" i="22"/>
  <c r="L154" i="11"/>
  <c r="L156" i="11" s="1"/>
  <c r="L175" i="11" s="1"/>
  <c r="L39" i="22" l="1"/>
  <c r="L40" i="22" s="1"/>
  <c r="K159" i="11"/>
  <c r="K178" i="11"/>
  <c r="K181" i="11"/>
  <c r="N27" i="22"/>
  <c r="N28" i="22" s="1"/>
  <c r="J178" i="11"/>
  <c r="J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K179" i="11" l="1"/>
  <c r="N151" i="1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R31" i="22" s="1"/>
  <c r="T30" i="22"/>
  <c r="T31" i="22" s="1"/>
  <c r="P148" i="11"/>
  <c r="P151" i="11" s="1"/>
  <c r="P153" i="11" s="1"/>
  <c r="Q33" i="22" s="1"/>
  <c r="S27" i="22"/>
  <c r="S28" i="22" s="1"/>
  <c r="N154" i="11"/>
  <c r="N156" i="11" s="1"/>
  <c r="N175" i="11" s="1"/>
  <c r="M162" i="11"/>
  <c r="M42" i="22"/>
  <c r="O151" i="11"/>
  <c r="O153" i="11" s="1"/>
  <c r="P33" i="22" s="1"/>
  <c r="P36" i="22" s="1"/>
  <c r="P37" i="22" s="1"/>
  <c r="L164" i="11"/>
  <c r="M164" i="11" s="1"/>
  <c r="M180" i="11"/>
  <c r="M181" i="11" s="1"/>
  <c r="M178" i="11"/>
  <c r="M179" i="11" s="1"/>
  <c r="M176" i="11"/>
  <c r="M183" i="11" s="1"/>
  <c r="M160" i="11"/>
  <c r="T27" i="22"/>
  <c r="T28" i="22" s="1"/>
  <c r="O34" i="22"/>
  <c r="O36" i="22"/>
  <c r="O37" i="22" s="1"/>
  <c r="Q148" i="11"/>
  <c r="R27" i="22" s="1"/>
  <c r="R28" i="22" s="1"/>
  <c r="N42" i="22"/>
  <c r="R149" i="11" l="1"/>
  <c r="R148" i="11" s="1"/>
  <c r="Q27" i="22"/>
  <c r="Q28" i="22" s="1"/>
  <c r="N157" i="11"/>
  <c r="O42" i="22" s="1"/>
  <c r="U30" i="22"/>
  <c r="U31" i="22" s="1"/>
  <c r="N159" i="11"/>
  <c r="N160" i="11" s="1"/>
  <c r="N161" i="11"/>
  <c r="N162" i="11" s="1"/>
  <c r="O39" i="22"/>
  <c r="O40" i="22" s="1"/>
  <c r="O154" i="11"/>
  <c r="O156" i="11" s="1"/>
  <c r="O157" i="11" s="1"/>
  <c r="P42" i="22" s="1"/>
  <c r="S33" i="22"/>
  <c r="S36" i="22" s="1"/>
  <c r="S37" i="22" s="1"/>
  <c r="P34" i="22"/>
  <c r="N180" i="11"/>
  <c r="N181" i="11" s="1"/>
  <c r="N178" i="11"/>
  <c r="N179" i="11" s="1"/>
  <c r="Q36" i="22"/>
  <c r="Q37" i="22" s="1"/>
  <c r="Q34" i="22"/>
  <c r="S149" i="11"/>
  <c r="V30" i="22"/>
  <c r="V31" i="22" s="1"/>
  <c r="N176" i="11"/>
  <c r="Q151" i="11"/>
  <c r="Q153" i="11" s="1"/>
  <c r="R33" i="22" s="1"/>
  <c r="P154" i="11"/>
  <c r="P156" i="11" s="1"/>
  <c r="P175" i="11" s="1"/>
  <c r="T33" i="22"/>
  <c r="U27" i="22" l="1"/>
  <c r="U28" i="22" s="1"/>
  <c r="N164" i="1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5" i="11"/>
  <c r="AL27" i="22"/>
  <c r="AH151" i="11"/>
  <c r="AH153" i="11" s="1"/>
  <c r="AM30" i="22"/>
  <c r="AI148" i="11"/>
  <c r="AJ149" i="11"/>
  <c r="AK33" i="22"/>
  <c r="AK36" i="22" s="1"/>
  <c r="AG154" i="11"/>
  <c r="AG156" i="11" s="1"/>
  <c r="AG175" i="11" s="1"/>
  <c r="AE164" i="11"/>
  <c r="AI42" i="22"/>
  <c r="AF157" i="11"/>
  <c r="AD183" i="11"/>
  <c r="AE176" i="11"/>
  <c r="AF160" i="11" l="1"/>
  <c r="AF179" i="11"/>
  <c r="AF181" i="11"/>
  <c r="AG180" i="11"/>
  <c r="AG178" i="11"/>
  <c r="A34" i="22"/>
  <c r="AE183" i="11"/>
  <c r="AF176" i="11"/>
  <c r="AK39" i="22"/>
  <c r="AK40" i="22" s="1"/>
  <c r="C40" i="22" s="1"/>
  <c r="A40" i="22" s="1"/>
  <c r="AG159" i="11"/>
  <c r="AG161" i="11"/>
  <c r="AG162" i="11" s="1"/>
  <c r="AJ148" i="11"/>
  <c r="AN30" i="22"/>
  <c r="AK149" i="11"/>
  <c r="AF184" i="11"/>
  <c r="AG157" i="11"/>
  <c r="AF164" i="11"/>
  <c r="AJ42" i="22"/>
  <c r="AM27" i="22"/>
  <c r="AI151" i="11"/>
  <c r="AI153" i="11" s="1"/>
  <c r="AL33" i="22"/>
  <c r="AL36" i="22" s="1"/>
  <c r="AH154" i="11"/>
  <c r="AH156" i="11" s="1"/>
  <c r="AH175" i="11" s="1"/>
  <c r="AG160" i="11" l="1"/>
  <c r="AG179" i="11"/>
  <c r="AG181" i="11"/>
  <c r="AH180" i="11"/>
  <c r="AH178" i="11"/>
  <c r="AF183" i="11"/>
  <c r="AG176" i="11"/>
  <c r="AI154" i="11"/>
  <c r="AI156" i="11" s="1"/>
  <c r="AI175" i="11" s="1"/>
  <c r="AM33" i="22"/>
  <c r="AM36" i="22" s="1"/>
  <c r="AK42" i="22"/>
  <c r="AG164" i="11"/>
  <c r="AH157" i="11"/>
  <c r="AJ151" i="11"/>
  <c r="AJ153" i="11" s="1"/>
  <c r="AN27" i="22"/>
  <c r="AH159" i="11"/>
  <c r="AL39" i="22"/>
  <c r="AH161" i="11"/>
  <c r="AH162" i="11" s="1"/>
  <c r="AK148" i="11"/>
  <c r="AO30" i="22"/>
  <c r="AL149" i="11"/>
  <c r="AH160" i="11" l="1"/>
  <c r="AH179" i="1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79" i="11" l="1"/>
  <c r="AQ181" i="11"/>
  <c r="AR178" i="1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79" i="11" l="1"/>
  <c r="AR181" i="11"/>
  <c r="AS180" i="11"/>
  <c r="AS178" i="1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79" i="11" l="1"/>
  <c r="AS181" i="11"/>
  <c r="AT180" i="11"/>
  <c r="AT178" i="1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79" i="11" l="1"/>
  <c r="AT181" i="1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042FC40A-CFA1-4DA4-8BFB-6E456A94913E}">
      <text>
        <r>
          <rPr>
            <sz val="9"/>
            <color rgb="FF000000"/>
            <rFont val="Tahoma"/>
            <family val="2"/>
          </rPr>
          <t xml:space="preserve">Conversão 
</t>
        </r>
        <r>
          <rPr>
            <sz val="9"/>
            <color rgb="FF000000"/>
            <rFont val="Tahoma"/>
            <family val="2"/>
          </rPr>
          <t>1 kg/cap/dia = 365 kg/cap/ano</t>
        </r>
      </text>
    </comment>
    <comment ref="E20" authorId="0" shapeId="0" xr:uid="{2E98615F-7AB4-4E5B-B203-66FC83B9AFDE}">
      <text>
        <r>
          <rPr>
            <sz val="9"/>
            <color rgb="FF000000"/>
            <rFont val="Tahoma"/>
            <family val="2"/>
          </rPr>
          <t xml:space="preserve">Conversão 
</t>
        </r>
        <r>
          <rPr>
            <sz val="9"/>
            <color rgb="FF000000"/>
            <rFont val="Tahoma"/>
            <family val="2"/>
          </rPr>
          <t>1 kg/cap/dia = 365 kg/cap/ano</t>
        </r>
      </text>
    </comment>
    <comment ref="C34" authorId="1" shapeId="0" xr:uid="{B59D7555-0FAD-4B0B-AD8A-1320F6D8F266}">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24477669-4FB7-4EA4-B42F-312AEB23EFE0}">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59795A5F-EF85-4981-A1CE-F800D8AC37BA}">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A755C5EA-7A48-451C-B526-2290001145CF}">
      <text>
        <r>
          <rPr>
            <sz val="9"/>
            <color rgb="FF000000"/>
            <rFont val="Tahoma"/>
            <family val="2"/>
          </rPr>
          <t xml:space="preserve">Tetra Pak e embalagens de papelão podem ser adicionadas aqui também </t>
        </r>
      </text>
    </comment>
    <comment ref="B41" authorId="0" shapeId="0" xr:uid="{54997CDD-23BB-45A3-8DAC-290DCA98D1CE}">
      <text>
        <r>
          <rPr>
            <sz val="9"/>
            <color rgb="FF000000"/>
            <rFont val="Tahoma"/>
            <family val="2"/>
          </rPr>
          <t>Somente alumínio. Outros metais não ferrosos não são considerados separadamente, pois a importância deles é menor — devem ser incluídos em "Outros"</t>
        </r>
      </text>
    </comment>
    <comment ref="B47" authorId="0" shapeId="0" xr:uid="{991EB36F-C2A9-4FEB-8964-41D342D2E1E8}">
      <text>
        <r>
          <rPr>
            <sz val="9"/>
            <color rgb="FF000000"/>
            <rFont val="Tahoma"/>
            <family val="2"/>
          </rPr>
          <t>Inclui todas as frações de resíduos citadas, como "fração fina", "lixo eletrônico", "miscelâneas" ...</t>
        </r>
      </text>
    </comment>
    <comment ref="B54" authorId="0" shapeId="0" xr:uid="{2724CD39-D61A-4970-8C39-796AE3440C33}">
      <text>
        <r>
          <rPr>
            <sz val="9"/>
            <color rgb="FF000000"/>
            <rFont val="Tahoma"/>
            <family val="2"/>
          </rPr>
          <t>Como regra de ouro básica, teor de água inferior a 40% pode ser considerado baixo e teor de água acima de 40%, alto</t>
        </r>
      </text>
    </comment>
    <comment ref="K62" authorId="0" shapeId="0" xr:uid="{973E8DCF-6004-4AC4-8A1A-42C51DAA1BC6}">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CBA3AE6C-A771-45E8-B8A3-F39AAB17331B}">
      <text>
        <r>
          <rPr>
            <sz val="9"/>
            <color rgb="FF000000"/>
            <rFont val="Tahoma"/>
            <family val="2"/>
          </rPr>
          <t xml:space="preserve">O carbono fóssil é carbono não degradável. Causa mudanças climáticas quando é incinerado e, portanto, oxidado em CO2 fóssil
</t>
        </r>
      </text>
    </comment>
    <comment ref="H65" authorId="0" shapeId="0" xr:uid="{7E108A9C-4380-4D2C-AC7D-925702F1D6D4}">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8474E9A7-A0E3-4EE2-900F-5C66C09394EC}">
      <text>
        <r>
          <rPr>
            <sz val="9"/>
            <color rgb="FF000000"/>
            <rFont val="Tahoma"/>
            <family val="2"/>
          </rPr>
          <t>Se você basear sua taxa de reciclagem na quantidade total de material reciclado, poderá usar a "tabela auxiliar" no lado direito.</t>
        </r>
      </text>
    </comment>
    <comment ref="E12" authorId="1" shapeId="0" xr:uid="{56E5EC4A-2DF2-4DAE-899B-F9B561B33EAA}">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F6E300ED-1FBB-4276-844E-22E9771FF7DA}">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B5925557-3816-45B2-BBA3-DD87E4F46871}">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922E509F-63D1-4765-A0B5-3F8574BC620B}">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D8DD6713-CDB7-4F96-8D3B-2F0436863673}">
      <text>
        <r>
          <rPr>
            <sz val="9"/>
            <color rgb="FF000000"/>
            <rFont val="Tahoma"/>
            <family val="2"/>
          </rPr>
          <t xml:space="preserve">O carbono fóssil é carbono não degradável. Causa mudanças climáticas quando é incinerado e, portanto, oxidado em CO2 fóssil
</t>
        </r>
      </text>
    </comment>
    <comment ref="B45" authorId="1" shapeId="0" xr:uid="{43AF3D03-8F14-44F7-8C96-DEBA05A26625}">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EFA714F0-E0EF-477A-BCD0-A5080B330E35}">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722AD176-7A43-4D11-8B43-A5238E6E24ED}">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BC022D39-02BE-49CD-95EC-9C53141459B5}">
      <text>
        <r>
          <rPr>
            <sz val="9"/>
            <color rgb="FF000000"/>
            <rFont val="Tahoma"/>
            <family val="2"/>
          </rPr>
          <t>Às vezes, resíduos dispersos são queimados a céu aberto. Além disso, a queima aberta pode ocorrer diretamente nas casas das famílias.</t>
        </r>
      </text>
    </comment>
    <comment ref="B10" authorId="0" shapeId="0" xr:uid="{CE5279CD-BFBE-421C-A831-B7FD0900D521}">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D039015B-04AD-4566-8881-96A92DCBBE2F}">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6F0314CD-1391-41A0-8114-4F851EB698E2}">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9895C119-7C20-48CA-A4CC-5F81C88F0D68}">
      <text>
        <r>
          <rPr>
            <sz val="9"/>
            <color rgb="FF000000"/>
            <rFont val="Tahoma"/>
            <family val="2"/>
          </rPr>
          <t>Qualquer reciclagem de material seco deve ser considerada em "Reciclagem" e não deve ser incluída nesses 100%.</t>
        </r>
      </text>
    </comment>
    <comment ref="B28" authorId="0" shapeId="0" xr:uid="{B3A8E104-CAD4-46AA-91E5-55EE6EB24CE3}">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69171294-4F9D-4A0F-ABA1-1878E1D2A8E7}">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54911E53-8F27-4F56-9CF4-EA72E4B19C8F}">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6F30ABD2-7E60-46B8-B934-F543BE11CC2E}">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6ED679F1-E437-4682-9F4F-32D1C85B5BFD}">
      <text>
        <r>
          <rPr>
            <sz val="9"/>
            <color indexed="81"/>
            <rFont val="Tahoma"/>
            <family val="2"/>
          </rPr>
          <t>Estimation only 30% of carbon will be released instead of 50% for untreated waste due to the biological stabilisation</t>
        </r>
      </text>
    </comment>
    <comment ref="N134" authorId="0" shapeId="0" xr:uid="{EE586F8C-21CC-415F-92F5-1F1972BCBB6B}">
      <text>
        <r>
          <rPr>
            <sz val="9"/>
            <color indexed="81"/>
            <rFont val="Tahoma"/>
            <family val="2"/>
          </rPr>
          <t>Beneficiar da coincineração RDF em forno de cimento; calculado com a substituição do petcoke com valor calorífico = 33500 kJ/kg e teor de carbono de 90%</t>
        </r>
      </text>
    </comment>
    <comment ref="N152" authorId="0" shapeId="0" xr:uid="{7695ACA6-194F-4F2C-9904-A777DA567B71}">
      <text>
        <r>
          <rPr>
            <sz val="9"/>
            <color indexed="81"/>
            <rFont val="Tahoma"/>
            <family val="2"/>
          </rPr>
          <t>Beneficiar da coincineração RDF em forno de cimento; calculado com a substituição do petcoke com valor calorífico = 33500 kJ/kg e teor de carbono de 90%</t>
        </r>
      </text>
    </comment>
    <comment ref="N153" authorId="0" shapeId="0" xr:uid="{62E18C00-9785-468A-980C-DFA709CEC924}">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<sst xmlns="http://schemas.openxmlformats.org/spreadsheetml/2006/main" count="3852" uniqueCount="1501">
  <si>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</si>
  <si>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</si>
  <si>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</si>
  <si>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</si>
  <si>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</si>
  <si>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</si>
  <si>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</si>
  <si>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</si>
  <si>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</si>
  <si>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</si>
  <si>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</si>
  <si>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</si>
  <si>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</si>
  <si>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</si>
  <si>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</si>
  <si>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</si>
  <si>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</si>
  <si>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</si>
  <si>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</si>
  <si>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</si>
  <si>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</si>
  <si>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</si>
  <si>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</si>
  <si>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</si>
  <si>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</si>
  <si>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</si>
  <si>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</si>
  <si>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</si>
  <si>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</si>
  <si>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</si>
  <si>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</si>
  <si>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</si>
  <si>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</si>
  <si>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</si>
  <si>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</si>
  <si>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</si>
  <si>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</si>
  <si>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</si>
  <si>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</si>
  <si>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</si>
  <si>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</si>
  <si>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</si>
  <si>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</si>
  <si>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</si>
  <si>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</si>
  <si>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</si>
  <si>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</si>
  <si>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</si>
  <si>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</si>
  <si>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</si>
  <si>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</si>
  <si>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</si>
  <si>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</si>
  <si>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</si>
  <si>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</si>
  <si>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</si>
  <si>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</si>
  <si>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</si>
  <si>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</si>
  <si>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</si>
  <si>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</si>
  <si>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</si>
  <si>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</si>
  <si>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</si>
  <si>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</si>
  <si>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</si>
  <si>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</si>
  <si>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</si>
  <si>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</si>
  <si>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</si>
  <si>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</si>
  <si>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</si>
  <si>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</si>
  <si>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</si>
  <si>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</si>
  <si>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</si>
  <si>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</si>
  <si>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</si>
  <si>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</si>
  <si>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</si>
  <si>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</si>
  <si>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</si>
  <si>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</si>
  <si>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</si>
  <si>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</si>
  <si>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</si>
  <si>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</si>
  <si>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</si>
  <si>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</si>
  <si>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</si>
  <si>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</si>
  <si>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</si>
  <si>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</si>
  <si>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</si>
  <si>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</si>
  <si>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</si>
  <si>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</si>
  <si>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</si>
  <si>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</si>
  <si>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</si>
  <si>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</si>
  <si>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</si>
  <si>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</si>
  <si>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</si>
  <si>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</si>
  <si>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</si>
  <si>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</si>
  <si>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</si>
  <si>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</si>
  <si>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</si>
  <si>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</si>
  <si>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</si>
  <si>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</si>
  <si>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</si>
  <si>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</si>
  <si>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</si>
  <si>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</si>
  <si>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</si>
  <si>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</si>
  <si>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</si>
  <si>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</si>
  <si>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</si>
  <si>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</si>
  <si>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</si>
  <si>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</si>
  <si>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</si>
  <si>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</si>
  <si>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</si>
  <si>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</si>
  <si>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</si>
  <si>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</si>
  <si>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</si>
  <si>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</si>
  <si>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</si>
  <si>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</si>
  <si>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</si>
  <si>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</si>
  <si>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</si>
  <si>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</si>
  <si>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</si>
  <si>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</si>
  <si>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</si>
  <si>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</si>
  <si>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</si>
  <si>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</si>
  <si>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</si>
  <si>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</si>
  <si>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</si>
  <si>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</si>
  <si>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</si>
  <si>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</si>
  <si>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</si>
  <si>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</si>
  <si>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</si>
  <si>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</si>
  <si>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</si>
  <si>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</si>
  <si>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</si>
  <si>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</si>
  <si>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</si>
  <si>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</si>
  <si>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</si>
  <si>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</si>
  <si>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</si>
  <si>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</si>
  <si>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</si>
  <si>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</si>
  <si>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</si>
  <si>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</si>
  <si>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</si>
  <si>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</si>
  <si>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</si>
  <si>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</si>
  <si>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</si>
  <si>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</si>
  <si>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</si>
  <si>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</si>
  <si>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</si>
  <si>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</si>
  <si>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</si>
  <si>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</si>
  <si>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</si>
  <si>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</si>
  <si>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</si>
  <si>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</si>
  <si>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</si>
  <si>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</si>
  <si>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</si>
  <si>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</si>
  <si>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</si>
  <si>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</si>
  <si>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</si>
  <si>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</si>
  <si>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</si>
  <si>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</si>
  <si>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</si>
  <si>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</si>
  <si>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</si>
  <si>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</si>
  <si>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</si>
  <si>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</si>
  <si>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</si>
  <si>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</si>
  <si>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</si>
  <si>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</si>
  <si>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</si>
  <si>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</si>
  <si>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</si>
  <si>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</si>
  <si>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</si>
  <si>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</si>
  <si>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</si>
  <si>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</si>
  <si>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</si>
  <si>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</si>
  <si>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</si>
  <si>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</si>
  <si>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</si>
  <si>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</si>
  <si>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</si>
  <si>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</si>
  <si>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</si>
  <si>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</si>
  <si>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</si>
  <si>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</si>
  <si>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</si>
  <si>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</si>
  <si>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</si>
  <si>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</si>
  <si>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</si>
  <si>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</si>
  <si>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</si>
  <si>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</si>
  <si>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</si>
  <si>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</si>
  <si>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</si>
  <si>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</si>
  <si>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</si>
  <si>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</si>
  <si>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</si>
  <si>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</si>
  <si>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</si>
  <si>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</si>
  <si>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</si>
  <si>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</si>
  <si>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</si>
  <si>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</si>
  <si>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</si>
  <si>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</si>
  <si>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</si>
  <si>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</si>
  <si>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</si>
  <si>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</si>
  <si>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</si>
  <si>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</si>
  <si>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</si>
  <si>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</si>
  <si>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</si>
  <si>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</si>
  <si>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</si>
  <si>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</si>
  <si>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</si>
  <si>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</si>
  <si>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</si>
  <si>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</si>
  <si>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</si>
  <si>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</si>
  <si>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</si>
  <si>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</si>
  <si>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</si>
  <si>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</si>
  <si>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</si>
  <si>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</si>
  <si>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</si>
  <si>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</si>
  <si>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</si>
  <si>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</si>
  <si>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</si>
  <si>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</si>
  <si>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</si>
  <si>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</si>
  <si>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</si>
  <si>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</si>
  <si>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</si>
  <si>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</si>
  <si>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</si>
  <si>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</si>
  <si>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</si>
  <si>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</si>
  <si>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</si>
  <si>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</si>
  <si>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</si>
  <si>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</si>
  <si>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</si>
  <si>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</si>
  <si>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</si>
  <si>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</si>
  <si>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</si>
  <si>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</si>
  <si>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</si>
  <si>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</si>
  <si>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</si>
  <si>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</si>
  <si>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</si>
  <si>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</si>
  <si>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</si>
  <si>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</si>
  <si>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</si>
  <si>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</si>
  <si>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</si>
  <si>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</si>
  <si>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</si>
  <si>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</si>
  <si>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</si>
  <si>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</si>
  <si>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</si>
  <si>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</si>
  <si>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</si>
  <si>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</si>
  <si>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</si>
  <si>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</si>
  <si>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</si>
  <si>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</si>
  <si>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</si>
  <si>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</si>
  <si>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</si>
  <si>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</si>
  <si>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</si>
  <si>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</si>
  <si>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</si>
  <si>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</si>
  <si>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</si>
  <si>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</si>
  <si>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</si>
  <si>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</si>
  <si>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</si>
  <si>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</si>
  <si>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</si>
  <si>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</si>
  <si>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</si>
  <si>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</si>
  <si>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</si>
  <si>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</si>
  <si>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</si>
  <si>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</si>
  <si>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</si>
  <si>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</si>
  <si>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</si>
  <si>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</si>
  <si>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</si>
  <si>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</si>
  <si>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</si>
  <si>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</si>
  <si>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</si>
  <si>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</si>
  <si>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</si>
  <si>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</si>
  <si>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</si>
  <si>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</si>
  <si>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</si>
  <si>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</si>
  <si>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</si>
  <si>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</si>
  <si>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</si>
  <si>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</si>
  <si>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</si>
  <si>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</si>
  <si>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</si>
  <si>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</si>
  <si>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</si>
  <si>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</si>
  <si>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</si>
  <si>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</si>
  <si>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</si>
  <si>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</si>
  <si>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</si>
  <si>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</si>
  <si>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</si>
  <si>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</si>
  <si>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</si>
  <si>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</si>
  <si>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</si>
  <si>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</si>
  <si>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</si>
  <si>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</si>
  <si>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</si>
  <si>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</si>
  <si>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</si>
  <si>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</si>
  <si>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</si>
  <si>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</si>
  <si>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</si>
  <si>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</si>
  <si>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</si>
  <si>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</si>
  <si>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</si>
  <si>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</si>
  <si>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</si>
  <si>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</si>
  <si>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</si>
  <si>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</si>
  <si>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</si>
  <si>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</si>
  <si>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</si>
  <si>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</si>
  <si>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</si>
  <si>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</si>
  <si>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</si>
  <si>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</si>
  <si>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</si>
  <si>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</si>
  <si>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</si>
  <si>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</si>
  <si>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</si>
  <si>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</si>
  <si>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</si>
  <si>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</si>
  <si>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</si>
  <si>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</si>
  <si>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</si>
  <si>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</si>
  <si>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</si>
  <si>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</si>
  <si>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</si>
  <si>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</si>
  <si>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</si>
  <si>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</si>
  <si>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</si>
  <si>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</si>
  <si>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</si>
  <si>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</si>
  <si>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</si>
  <si>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</si>
  <si>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</si>
  <si>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</si>
  <si>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</si>
  <si>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</si>
  <si>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</si>
  <si>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</si>
  <si>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</si>
  <si>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</si>
  <si>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</si>
  <si>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</si>
  <si>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</si>
  <si>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</si>
  <si>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</si>
  <si>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</si>
  <si>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</si>
  <si>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</si>
  <si>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</si>
  <si>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</si>
  <si>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</si>
  <si>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</si>
  <si>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</si>
  <si>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</si>
  <si>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</si>
  <si>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</si>
  <si>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</si>
  <si>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</si>
  <si>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</si>
  <si>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</si>
  <si>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</si>
  <si>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</si>
  <si>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</si>
  <si>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</si>
  <si>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</si>
  <si>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</si>
  <si>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</si>
  <si>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</si>
  <si>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</si>
  <si>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</si>
  <si>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</si>
  <si>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</si>
  <si>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</si>
  <si>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</si>
  <si>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</si>
  <si>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</si>
  <si>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</si>
  <si>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</si>
  <si>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</si>
  <si>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</si>
  <si>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</si>
  <si>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</si>
  <si>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</si>
  <si>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</si>
  <si>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</si>
  <si>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</si>
  <si>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</si>
  <si>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</si>
  <si>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</si>
  <si>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</si>
  <si>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</si>
  <si>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</si>
  <si>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</si>
  <si>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</si>
  <si>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</si>
  <si>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</si>
  <si>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</si>
  <si>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</si>
  <si>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</si>
  <si>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</si>
  <si>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</si>
  <si>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</si>
  <si>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</si>
  <si>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</si>
  <si>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</si>
  <si>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</si>
  <si>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</si>
  <si>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</si>
  <si>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</si>
  <si>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</si>
  <si>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</si>
  <si>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</si>
  <si>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</si>
  <si>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</si>
  <si>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</si>
  <si>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</si>
  <si>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</si>
  <si>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</si>
  <si>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</si>
  <si>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</si>
  <si>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</si>
  <si>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</si>
  <si>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</si>
  <si>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</si>
  <si>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</si>
  <si>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</si>
  <si>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</si>
  <si>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</si>
  <si>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</si>
  <si>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</si>
  <si>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</si>
  <si>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</si>
  <si>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</si>
  <si>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</si>
  <si>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</si>
  <si>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</si>
  <si>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</si>
  <si>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</si>
  <si>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</si>
  <si>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</si>
  <si>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</si>
  <si>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</si>
  <si>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</si>
  <si>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</si>
  <si>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</si>
  <si>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</si>
  <si>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</si>
  <si>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</si>
  <si>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</si>
  <si>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</si>
  <si>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</si>
  <si>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</si>
  <si>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</si>
  <si>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</si>
  <si>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</si>
  <si>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</si>
  <si>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</si>
  <si>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</si>
  <si>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</si>
  <si>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</si>
  <si>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</si>
  <si>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</si>
  <si>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</si>
  <si>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</si>
  <si>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</si>
  <si>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</si>
  <si>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</si>
  <si>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</si>
  <si>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</si>
  <si>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</si>
  <si>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</si>
  <si>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</si>
  <si>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</si>
  <si>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</si>
  <si>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</si>
  <si>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</si>
  <si>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</si>
  <si>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</si>
  <si>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</si>
  <si>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</si>
  <si>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</si>
  <si>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</si>
  <si>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</si>
  <si>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</si>
  <si>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</si>
  <si>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</si>
  <si>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</si>
  <si>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</si>
  <si>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</si>
  <si>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</si>
  <si>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</si>
  <si>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</si>
  <si>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</si>
  <si>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</si>
  <si>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</si>
  <si>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</si>
  <si>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</si>
  <si>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</si>
  <si>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</si>
  <si>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</si>
  <si>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</si>
  <si>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</si>
  <si>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</si>
  <si>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</si>
  <si>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</si>
  <si>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</si>
  <si>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</si>
  <si>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</si>
  <si>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</si>
  <si>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</si>
  <si>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</si>
  <si>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</si>
  <si>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</si>
  <si>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</si>
  <si>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</si>
  <si>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</si>
  <si>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</si>
  <si>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</si>
  <si>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</si>
  <si>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</si>
  <si>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</si>
  <si>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</si>
  <si>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</si>
  <si>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</si>
  <si>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</si>
  <si>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</si>
  <si>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</si>
  <si>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</si>
  <si>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</si>
  <si>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</si>
  <si>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</si>
  <si>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</si>
  <si>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</si>
  <si>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</si>
  <si>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</si>
  <si>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</si>
  <si>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</si>
  <si>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</si>
  <si>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</si>
  <si>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</si>
  <si>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</si>
  <si>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</si>
  <si>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</si>
  <si>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</si>
  <si>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</si>
  <si>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</si>
  <si>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</si>
  <si>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</si>
  <si>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</si>
  <si>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</si>
  <si>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</si>
  <si>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</si>
  <si>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</si>
  <si>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</si>
  <si>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</si>
  <si>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</si>
  <si>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</si>
  <si>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</si>
  <si>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</si>
  <si>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</si>
  <si>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</si>
  <si>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</si>
  <si>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</si>
  <si>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</si>
  <si>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</si>
  <si>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</si>
  <si>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</si>
  <si>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</si>
  <si>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</si>
  <si>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</si>
  <si>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</si>
  <si>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</si>
  <si>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</si>
  <si>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</si>
  <si>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</si>
  <si>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</si>
  <si>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</si>
  <si>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</si>
  <si>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</si>
  <si>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</si>
  <si>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</si>
  <si>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</si>
  <si>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</si>
  <si>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</si>
  <si>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</si>
  <si>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</si>
  <si>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</si>
  <si>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</si>
  <si>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</si>
  <si>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</si>
  <si>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</si>
  <si>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</si>
  <si>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</si>
  <si>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</si>
  <si>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</si>
  <si>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</si>
  <si>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</si>
  <si>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</si>
  <si>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</si>
  <si>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</si>
  <si>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</si>
  <si>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</si>
  <si>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</si>
  <si>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</si>
  <si>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</si>
  <si>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</si>
  <si>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</si>
  <si>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</si>
  <si>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</si>
  <si>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</si>
  <si>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</si>
  <si>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</si>
  <si>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</si>
  <si>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</si>
  <si>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</si>
  <si>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</si>
  <si>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</si>
  <si>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</si>
  <si>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</si>
  <si>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</si>
  <si>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</si>
  <si>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</si>
  <si>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</si>
  <si>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</si>
  <si>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</si>
  <si>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</si>
  <si>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</si>
  <si>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</si>
  <si>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</si>
  <si>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</si>
  <si>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</si>
  <si>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</si>
  <si>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</si>
  <si>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</si>
  <si>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</si>
  <si>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</si>
  <si>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</si>
  <si>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</si>
  <si>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</si>
  <si>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</si>
  <si>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</si>
  <si>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</si>
  <si>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</si>
  <si>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</si>
  <si>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</si>
  <si>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</si>
  <si>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</si>
  <si>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</si>
  <si>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</si>
  <si>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</si>
  <si>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</si>
  <si>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</si>
  <si>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</si>
  <si>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</si>
  <si>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</si>
  <si>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</si>
  <si>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</si>
  <si>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</si>
  <si>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</si>
  <si>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</si>
  <si>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</si>
  <si>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</si>
  <si>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</si>
  <si>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</si>
  <si>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</si>
  <si>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</si>
  <si>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</si>
  <si>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</si>
  <si>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</si>
  <si>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</si>
  <si>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</si>
  <si>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</si>
  <si>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</si>
  <si>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</si>
  <si>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</si>
  <si>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</si>
  <si>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</si>
  <si>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</si>
  <si>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</si>
  <si>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</si>
  <si>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</si>
  <si>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</si>
  <si>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</si>
  <si>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</si>
  <si>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</si>
  <si>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</si>
  <si>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</si>
  <si>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</si>
  <si>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</si>
  <si>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</si>
  <si>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</si>
  <si>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</si>
  <si>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</si>
  <si>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</si>
  <si>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</si>
  <si>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</si>
  <si>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</si>
  <si>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</si>
  <si>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</si>
  <si>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</si>
  <si>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</si>
  <si>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</si>
  <si>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</si>
  <si>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</si>
  <si>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</si>
  <si>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</si>
  <si>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</si>
  <si>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</si>
  <si>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</si>
  <si>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</si>
  <si>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</si>
  <si>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</si>
  <si>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</si>
  <si>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</si>
  <si>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</si>
  <si>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</si>
  <si>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</si>
  <si>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</si>
  <si>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</si>
  <si>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</si>
  <si>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</si>
  <si>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</si>
  <si>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</si>
  <si>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</si>
  <si>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</si>
  <si>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</si>
  <si>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</si>
  <si>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</si>
  <si>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</si>
  <si>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</si>
  <si>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</si>
  <si>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</si>
  <si>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</si>
  <si>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</si>
  <si>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</si>
  <si>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</si>
  <si>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</si>
  <si>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</si>
  <si>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</si>
  <si>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</si>
  <si>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</si>
  <si>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</si>
  <si>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</si>
  <si>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</si>
  <si>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</si>
  <si>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</si>
  <si>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</si>
  <si>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</si>
  <si>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</si>
  <si>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</si>
  <si>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</si>
  <si>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</si>
  <si>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</si>
  <si>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</si>
  <si>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</si>
  <si>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</si>
  <si>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</si>
  <si>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</si>
  <si>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</si>
  <si>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</si>
  <si>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</si>
  <si>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</si>
  <si>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</si>
  <si>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</si>
  <si>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</si>
  <si>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</si>
  <si>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</si>
  <si>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</si>
  <si>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</si>
  <si>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</si>
  <si>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</si>
  <si>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</si>
  <si>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</si>
  <si>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</si>
  <si>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</si>
  <si>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</si>
  <si>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</si>
  <si>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</si>
  <si>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</si>
  <si>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</si>
  <si>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</si>
  <si>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</si>
  <si>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</si>
  <si>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</si>
  <si>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</si>
  <si>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</si>
  <si>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</si>
  <si>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</si>
  <si>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</si>
  <si>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</si>
  <si>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</si>
  <si>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</si>
  <si>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</si>
  <si>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</si>
  <si>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</si>
  <si>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</si>
  <si>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</si>
  <si>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</si>
  <si>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</si>
  <si>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</si>
  <si>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</si>
  <si>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</si>
  <si>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</si>
  <si>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</si>
  <si>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</si>
  <si>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</si>
  <si>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</si>
  <si>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</si>
  <si>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</si>
  <si>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</si>
  <si>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</si>
  <si>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</si>
  <si>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</si>
  <si>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</si>
  <si>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</si>
  <si>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</si>
  <si>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</si>
  <si>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</si>
  <si>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</si>
  <si>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</si>
  <si>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</si>
  <si>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</si>
  <si>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</si>
  <si>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</si>
  <si>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</si>
  <si>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</si>
  <si>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</si>
  <si>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</si>
  <si>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</si>
  <si>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</si>
  <si>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</si>
  <si>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</si>
  <si>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</si>
  <si>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</si>
  <si>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</si>
  <si>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</si>
  <si>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</si>
  <si>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</si>
  <si>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</si>
  <si>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</si>
  <si>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</si>
  <si>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</si>
  <si>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</si>
  <si>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</si>
  <si>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</si>
  <si>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</si>
  <si>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</si>
  <si>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</si>
  <si>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</si>
  <si>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</si>
  <si>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</si>
  <si>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</si>
  <si>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</si>
  <si>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</si>
  <si>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</si>
  <si>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</si>
  <si>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</si>
  <si>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</si>
  <si>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</si>
  <si>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</si>
  <si>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</si>
  <si>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</si>
  <si>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</si>
  <si>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</si>
  <si>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</si>
  <si>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</si>
  <si>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</si>
  <si>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</si>
  <si>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</si>
  <si>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</si>
  <si>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</si>
  <si>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</si>
  <si>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</si>
  <si>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</si>
  <si>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</si>
  <si>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</si>
  <si>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</si>
  <si>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</si>
  <si>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</si>
  <si>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</si>
  <si>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</si>
  <si>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</si>
  <si>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</si>
  <si>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</si>
  <si>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</si>
  <si>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</si>
  <si>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</si>
  <si>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</si>
  <si>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</si>
  <si>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</si>
  <si>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</si>
  <si>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</si>
  <si>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</si>
  <si>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</si>
  <si>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</si>
  <si>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</si>
  <si>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</si>
  <si>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</si>
  <si>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</si>
  <si>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</si>
  <si>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</si>
  <si>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</si>
  <si>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</si>
  <si>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</si>
  <si>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</si>
  <si>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</si>
  <si>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</si>
  <si>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</si>
  <si>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</si>
  <si>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</si>
  <si>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</si>
  <si>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</si>
  <si>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</si>
  <si>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</si>
  <si>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</si>
  <si>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</si>
  <si>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</si>
  <si>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</si>
  <si>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</si>
  <si>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</si>
  <si>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</si>
  <si>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</si>
  <si>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</si>
  <si>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</si>
  <si>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</si>
  <si>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</si>
  <si>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</si>
  <si>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</si>
  <si>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</si>
  <si>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</si>
  <si>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</si>
  <si>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</si>
  <si>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Custo Médio Solo/Argila para Cobertura Aterro Sanit.</t>
  </si>
  <si>
    <r>
      <t>R$/m</t>
    </r>
    <r>
      <rPr>
        <vertAlign val="superscript"/>
        <sz val="10.5"/>
        <rFont val="Calibri"/>
        <family val="2"/>
      </rPr>
      <t>3</t>
    </r>
  </si>
  <si>
    <t>Nr Empregos Diretos</t>
  </si>
  <si>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</si>
  <si>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</si>
  <si>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</si>
  <si>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</si>
  <si>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</si>
  <si>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</si>
  <si>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</si>
  <si>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</si>
  <si>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</si>
  <si>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</si>
  <si>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</si>
  <si>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</si>
  <si>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</si>
  <si>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</si>
  <si>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</si>
  <si>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</si>
  <si>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</si>
  <si>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</si>
  <si>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</si>
  <si>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</si>
  <si>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</si>
  <si>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</si>
  <si>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</si>
  <si>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</si>
  <si>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</si>
  <si>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</si>
  <si>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</si>
  <si>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</si>
  <si>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</si>
  <si>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</si>
  <si>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</si>
  <si>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</si>
  <si>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</si>
  <si>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</si>
  <si>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</si>
  <si>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</si>
  <si>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</si>
  <si>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</si>
  <si>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</si>
  <si>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</si>
  <si>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</si>
  <si>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</si>
  <si>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</si>
  <si>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</si>
  <si>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</si>
  <si>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</si>
  <si>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</si>
  <si>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</si>
  <si>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</si>
  <si>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</si>
  <si>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</si>
  <si>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</si>
  <si>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</si>
  <si>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</si>
  <si>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</si>
  <si>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</si>
  <si>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</si>
  <si>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</si>
  <si>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</si>
  <si>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</si>
  <si>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</si>
  <si>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</si>
  <si>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</si>
  <si>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</si>
  <si>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</si>
  <si>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</si>
  <si>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</si>
  <si>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</si>
  <si>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</si>
  <si>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</si>
  <si>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</si>
  <si>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</si>
  <si>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</si>
  <si>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</si>
  <si>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</si>
  <si>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</si>
  <si>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</si>
  <si>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</si>
  <si>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</si>
  <si>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</si>
  <si>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</si>
  <si>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</si>
  <si>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</si>
  <si>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</si>
  <si>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</si>
  <si>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</si>
  <si>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</si>
  <si>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</si>
  <si>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</si>
  <si>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</si>
  <si>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</si>
  <si>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</si>
  <si>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</si>
  <si>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</si>
  <si>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</si>
  <si>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</si>
  <si>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</si>
  <si>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</si>
  <si>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</si>
  <si>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</si>
  <si>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</si>
  <si>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</si>
  <si>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</si>
  <si>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</si>
  <si>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</si>
  <si>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</si>
  <si>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</si>
  <si>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</si>
  <si>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</si>
  <si>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</si>
  <si>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</si>
  <si>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</si>
  <si>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</si>
  <si>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</si>
  <si>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</si>
  <si>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</si>
  <si>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</si>
  <si>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</si>
  <si>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</si>
  <si>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</si>
  <si>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</si>
  <si>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</si>
  <si>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</si>
  <si>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</si>
  <si>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</si>
  <si>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</si>
  <si>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</si>
  <si>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</si>
  <si>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</si>
  <si>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</si>
  <si>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</si>
  <si>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</si>
  <si>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</si>
  <si>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</si>
  <si>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</si>
  <si>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</si>
  <si>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</si>
  <si>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</si>
  <si>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</si>
  <si>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</si>
  <si>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</si>
  <si>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</si>
  <si>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</si>
  <si>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</si>
  <si>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</si>
  <si>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</si>
  <si>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</si>
  <si>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</si>
  <si>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</si>
  <si>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</si>
  <si>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</si>
  <si>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</si>
  <si>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</si>
  <si>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</si>
  <si>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</si>
  <si>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</si>
  <si>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</si>
  <si>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</si>
  <si>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</si>
  <si>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</si>
  <si>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</si>
  <si>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</si>
  <si>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</si>
  <si>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</si>
  <si>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</si>
  <si>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</si>
  <si>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</si>
  <si>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</si>
  <si>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</si>
  <si>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</si>
  <si>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</si>
  <si>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</si>
  <si>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</si>
  <si>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</si>
  <si>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</si>
  <si>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</si>
  <si>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</si>
  <si>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</si>
  <si>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</si>
  <si>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</si>
  <si>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</si>
  <si>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</si>
  <si>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</si>
  <si>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</si>
  <si>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</si>
  <si>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</si>
  <si>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</si>
  <si>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</si>
  <si>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</si>
  <si>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</si>
  <si>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</si>
  <si>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</si>
  <si>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</si>
  <si>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</si>
  <si>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</si>
  <si>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</si>
  <si>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</si>
  <si>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</si>
  <si>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</si>
  <si>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</si>
  <si>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</si>
  <si>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</si>
  <si>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</si>
  <si>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</si>
  <si>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</si>
  <si>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</si>
  <si>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</si>
  <si>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</si>
  <si>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</si>
  <si>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</si>
  <si>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</si>
  <si>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</si>
  <si>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</si>
  <si>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</si>
  <si>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</si>
  <si>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</si>
  <si>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</si>
  <si>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</si>
  <si>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</si>
  <si>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</si>
  <si>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</si>
  <si>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</si>
  <si>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</si>
  <si>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</si>
  <si>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</si>
  <si>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</si>
  <si>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</si>
  <si>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</si>
  <si>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</si>
  <si>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</si>
  <si>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</si>
  <si>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</si>
  <si>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</si>
  <si>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</si>
  <si>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</si>
  <si>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</si>
  <si>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</si>
  <si>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</si>
  <si>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</si>
  <si>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</si>
  <si>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</si>
  <si>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</si>
  <si>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</si>
  <si>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</si>
  <si>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</si>
  <si>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</si>
  <si>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</si>
  <si>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</si>
  <si>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</si>
  <si>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</si>
  <si>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</si>
  <si>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</si>
  <si>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</si>
  <si>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</si>
  <si>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</si>
  <si>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</si>
  <si>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</si>
  <si>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</si>
  <si>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</si>
  <si>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</si>
  <si>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</si>
  <si>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</si>
  <si>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</si>
  <si>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</si>
  <si>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</si>
  <si>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</si>
  <si>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</si>
  <si>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</si>
  <si>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</si>
  <si>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</si>
  <si>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</si>
  <si>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</si>
  <si>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</si>
  <si>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</si>
  <si>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</si>
  <si>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</si>
  <si>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</si>
  <si>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</si>
  <si>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</si>
  <si>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</si>
  <si>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</si>
  <si>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</si>
  <si>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</si>
  <si>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</si>
  <si>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</si>
  <si>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</si>
  <si>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</si>
  <si>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</si>
  <si>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</si>
  <si>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</si>
  <si>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</si>
  <si>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</si>
  <si>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</si>
  <si>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</si>
  <si>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</si>
  <si>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</si>
  <si>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</si>
  <si>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</si>
  <si>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</si>
  <si>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</si>
  <si>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</si>
  <si>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</si>
  <si>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</si>
  <si>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</si>
  <si>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</si>
  <si>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</si>
  <si>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</si>
  <si>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</si>
  <si>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</si>
  <si>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</si>
  <si>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</si>
  <si>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</si>
  <si>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</si>
  <si>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</si>
  <si>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</si>
  <si>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</si>
  <si>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</si>
  <si>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</si>
  <si>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</si>
  <si>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</si>
  <si>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</si>
  <si>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</si>
  <si>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</si>
  <si>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</si>
  <si>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</si>
  <si>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</si>
  <si>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</si>
  <si>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</si>
  <si>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</si>
  <si>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</si>
  <si>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</si>
  <si>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</si>
  <si>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</si>
  <si>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</si>
  <si>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</si>
  <si>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</si>
  <si>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</si>
  <si>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</si>
  <si>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</si>
  <si>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</si>
  <si>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</si>
  <si>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</si>
  <si>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</si>
  <si>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</si>
  <si>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</si>
  <si>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</si>
  <si>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</si>
  <si>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</si>
  <si>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</si>
  <si>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</si>
  <si>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</si>
  <si>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</si>
  <si>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</si>
  <si>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</si>
  <si>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</si>
  <si>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</si>
  <si>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</si>
  <si>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</si>
  <si>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</si>
  <si>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</si>
  <si>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</si>
  <si>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</si>
  <si>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</si>
  <si>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</si>
  <si>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</si>
  <si>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</si>
  <si>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</si>
  <si>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</si>
  <si>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</si>
  <si>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</si>
  <si>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</si>
  <si>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</si>
  <si>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</si>
  <si>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</si>
  <si>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</si>
  <si>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</si>
  <si>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</si>
  <si>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</si>
  <si>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</si>
  <si>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</si>
  <si>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</si>
  <si>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</si>
  <si>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</si>
  <si>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</si>
  <si>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</si>
  <si>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</si>
  <si>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</si>
  <si>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</si>
  <si>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</si>
  <si>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</si>
  <si>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</si>
  <si>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</si>
  <si>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</si>
  <si>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</si>
  <si>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</si>
  <si>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</si>
  <si>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</si>
  <si>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</si>
  <si>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</si>
  <si>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</si>
  <si>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</si>
  <si>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</si>
  <si>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</si>
  <si>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</si>
  <si>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</si>
  <si>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</si>
  <si>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</si>
  <si>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</si>
  <si>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</si>
  <si>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</si>
  <si>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</si>
  <si>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</si>
  <si>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</si>
  <si>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</si>
  <si>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</si>
  <si>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</si>
  <si>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</si>
  <si>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</si>
  <si>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</si>
  <si>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</si>
  <si>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</si>
  <si>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</si>
  <si>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</si>
  <si>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</si>
  <si>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</si>
  <si>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</si>
  <si>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</si>
  <si>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</si>
  <si>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</si>
  <si>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</si>
  <si>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</si>
  <si>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</si>
  <si>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</si>
  <si>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</si>
  <si>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</si>
  <si>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</si>
  <si>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</si>
  <si>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</si>
  <si>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</si>
  <si>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</si>
  <si>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</si>
  <si>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</si>
  <si>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</si>
  <si>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</si>
  <si>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</si>
  <si>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</si>
  <si>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</si>
  <si>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</si>
  <si>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</si>
  <si>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</si>
  <si>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</si>
  <si>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</si>
  <si>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</si>
  <si>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</si>
  <si>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</si>
  <si>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</si>
  <si>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</si>
  <si>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</si>
  <si>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</si>
  <si>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</si>
  <si>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</si>
  <si>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</si>
  <si>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</si>
  <si>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Emissão CO2 (Cenário Base)</t>
  </si>
  <si>
    <t>Emissão CO2 (Cenário Futuro)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</si>
</sst>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_-* #,##0.00\ _€_-;\-* #,##0.00\ _€_-;_-* &quot;-&quot;??\ _€_-;_-@_-"/>
  </numFmts>
  <fonts count="356"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1" fillId="0" borderId="0" applyFont="0" applyFill="0" applyBorder="0" applyAlignment="0" applyProtection="0"/>
    <xf numFmtId="0" fontId="7" fillId="0" borderId="23"/>
    <xf numFmtId="9" fontId="7" fillId="0" borderId="23" applyFont="0" applyFill="0" applyBorder="0" applyAlignment="0" applyProtection="0"/>
    <xf numFmtId="0" fontId="6" fillId="0" borderId="23"/>
    <xf numFmtId="9" fontId="6" fillId="0" borderId="23" applyFont="0" applyFill="0" applyBorder="0" applyAlignment="0" applyProtection="0"/>
    <xf numFmtId="0" fontId="34" fillId="0" borderId="23"/>
    <xf numFmtId="0" fontId="276" fillId="0" borderId="23" applyNumberFormat="0" applyFill="0" applyBorder="0" applyAlignment="0" applyProtection="0"/>
    <xf numFmtId="9" fontId="3" fillId="0" borderId="23" applyFont="0" applyFill="0" applyBorder="0" applyAlignment="0" applyProtection="0"/>
    <xf numFmtId="9" fontId="34" fillId="0" borderId="23" applyFont="0" applyFill="0" applyBorder="0" applyAlignment="0" applyProtection="0"/>
    <xf numFmtId="182" fontId="34" fillId="0" borderId="23" applyFont="0" applyFill="0" applyBorder="0" applyAlignment="0" applyProtection="0"/>
    <xf numFmtId="9" fontId="2" fillId="0" borderId="23" applyFont="0" applyFill="0" applyBorder="0" applyAlignment="0" applyProtection="0"/>
  </cellStyleXfs>
  <cellXfs count="2988">
    <xf numFmtId="0" fontId="0" fillId="0" borderId="0" xfId="0"/>
    <xf numFmtId="0" fontId="9" fillId="0" borderId="0" xfId="0" applyFont="1"/>
    <xf numFmtId="0" fontId="15" fillId="0" borderId="0" xfId="0" applyFont="1"/>
    <xf numFmtId="0" fontId="17" fillId="0" borderId="0" xfId="0" applyFont="1"/>
    <xf numFmtId="0" fontId="17" fillId="0" borderId="0" xfId="0" applyFont="1" applyAlignment="1">
      <alignment horizontal="center"/>
    </xf>
    <xf numFmtId="0" fontId="17" fillId="0" borderId="0" xfId="0" applyFont="1" applyAlignment="1">
      <alignment horizontal="right"/>
    </xf>
    <xf numFmtId="0" fontId="15" fillId="0" borderId="0" xfId="0" applyFont="1" applyAlignment="1">
      <alignment horizontal="center"/>
    </xf>
    <xf numFmtId="0" fontId="15" fillId="0" borderId="0" xfId="0" applyFont="1" applyAlignment="1">
      <alignment horizontal="left"/>
    </xf>
    <xf numFmtId="0" fontId="20" fillId="0" borderId="0" xfId="0" applyFont="1"/>
    <xf numFmtId="4" fontId="17" fillId="0" borderId="0" xfId="0" applyNumberFormat="1" applyFont="1"/>
    <xf numFmtId="2" fontId="17" fillId="0" borderId="0" xfId="0" applyNumberFormat="1" applyFont="1" applyAlignment="1">
      <alignment horizontal="center"/>
    </xf>
    <xf numFmtId="0" fontId="15" fillId="0" borderId="0" xfId="0" applyFont="1" applyAlignment="1">
      <alignment horizontal="right"/>
    </xf>
    <xf numFmtId="0" fontId="21" fillId="0" borderId="0" xfId="0" applyFont="1"/>
    <xf numFmtId="0" fontId="16" fillId="0" borderId="0" xfId="0" applyFont="1" applyAlignment="1">
      <alignment horizontal="center" vertical="center"/>
    </xf>
    <xf numFmtId="4" fontId="15" fillId="0" borderId="0" xfId="0" applyNumberFormat="1" applyFont="1" applyAlignment="1">
      <alignment horizontal="center"/>
    </xf>
    <xf numFmtId="2" fontId="15" fillId="0" borderId="0" xfId="0" applyNumberFormat="1" applyFont="1" applyAlignment="1">
      <alignment horizontal="center" vertical="center"/>
    </xf>
    <xf numFmtId="2" fontId="17" fillId="0" borderId="0" xfId="0" applyNumberFormat="1" applyFont="1" applyAlignment="1">
      <alignment horizontal="center" vertical="center"/>
    </xf>
    <xf numFmtId="165" fontId="15" fillId="0" borderId="0" xfId="0" applyNumberFormat="1" applyFont="1" applyAlignment="1">
      <alignment horizontal="center" vertical="center"/>
    </xf>
    <xf numFmtId="2" fontId="15" fillId="0" borderId="0" xfId="0" applyNumberFormat="1" applyFont="1" applyAlignment="1">
      <alignment horizontal="right"/>
    </xf>
    <xf numFmtId="4" fontId="15" fillId="0" borderId="0" xfId="0" applyNumberFormat="1" applyFont="1"/>
    <xf numFmtId="4" fontId="17" fillId="0" borderId="0" xfId="0" applyNumberFormat="1" applyFont="1" applyAlignment="1">
      <alignment horizontal="center" vertical="center"/>
    </xf>
    <xf numFmtId="2" fontId="15" fillId="0" borderId="0" xfId="0" applyNumberFormat="1" applyFont="1"/>
    <xf numFmtId="0" fontId="15" fillId="0" borderId="0" xfId="0" applyFont="1" applyAlignment="1">
      <alignment vertical="center"/>
    </xf>
    <xf numFmtId="0" fontId="12" fillId="0" borderId="0" xfId="0" applyFont="1" applyAlignment="1">
      <alignment horizontal="right" vertical="center"/>
    </xf>
    <xf numFmtId="4" fontId="17" fillId="0" borderId="0" xfId="0" applyNumberFormat="1" applyFont="1" applyAlignment="1">
      <alignment horizontal="center"/>
    </xf>
    <xf numFmtId="4" fontId="16" fillId="0" borderId="0" xfId="0" applyNumberFormat="1" applyFont="1" applyAlignment="1">
      <alignment vertical="center"/>
    </xf>
    <xf numFmtId="0" fontId="16" fillId="0" borderId="0" xfId="0" applyFont="1" applyAlignment="1">
      <alignment vertical="center"/>
    </xf>
    <xf numFmtId="2" fontId="17" fillId="0" borderId="0" xfId="0" applyNumberFormat="1" applyFont="1"/>
    <xf numFmtId="4" fontId="17" fillId="0" borderId="0" xfId="0" applyNumberFormat="1" applyFont="1" applyAlignment="1">
      <alignment horizontal="right" vertical="center"/>
    </xf>
    <xf numFmtId="0" fontId="0" fillId="0" borderId="0" xfId="0"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22" fillId="0" borderId="0" xfId="0" applyFont="1" applyAlignment="1">
      <alignment vertical="center"/>
    </xf>
    <xf numFmtId="0" fontId="0" fillId="0" borderId="0" xfId="0" applyAlignment="1">
      <alignment vertical="center"/>
    </xf>
    <xf numFmtId="0" fontId="13" fillId="0" borderId="0" xfId="0" applyFont="1" applyAlignment="1">
      <alignment vertical="center"/>
    </xf>
    <xf numFmtId="0" fontId="9"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7" fillId="0" borderId="0" xfId="0" applyFont="1" applyAlignment="1">
      <alignment vertical="center"/>
    </xf>
    <xf numFmtId="0" fontId="8" fillId="0" borderId="0" xfId="0" applyFont="1" applyAlignment="1">
      <alignment vertical="center"/>
    </xf>
    <xf numFmtId="0" fontId="11" fillId="0" borderId="0" xfId="0" applyFont="1" applyAlignment="1">
      <alignment vertical="center"/>
    </xf>
    <xf numFmtId="4" fontId="11" fillId="0" borderId="0" xfId="0" applyNumberFormat="1" applyFont="1" applyAlignment="1">
      <alignment vertical="center"/>
    </xf>
    <xf numFmtId="0" fontId="9" fillId="0" borderId="0" xfId="0" applyFont="1" applyAlignment="1">
      <alignment vertical="center"/>
    </xf>
    <xf numFmtId="0" fontId="11" fillId="0" borderId="0" xfId="0" applyFont="1"/>
    <xf numFmtId="4" fontId="12" fillId="0" borderId="0" xfId="0" applyNumberFormat="1" applyFont="1" applyAlignment="1">
      <alignment vertical="center"/>
    </xf>
    <xf numFmtId="0" fontId="28" fillId="0" borderId="0" xfId="0" applyFont="1" applyAlignment="1">
      <alignment horizontal="center"/>
    </xf>
    <xf numFmtId="168" fontId="9" fillId="0" borderId="0" xfId="0" applyNumberFormat="1" applyFont="1" applyAlignment="1">
      <alignment horizontal="center" vertical="center"/>
    </xf>
    <xf numFmtId="0" fontId="10" fillId="0" borderId="0" xfId="0" applyFont="1" applyAlignment="1">
      <alignment vertical="center"/>
    </xf>
    <xf numFmtId="168" fontId="0" fillId="0" borderId="0" xfId="0" applyNumberFormat="1" applyAlignment="1">
      <alignment horizontal="center" vertical="center"/>
    </xf>
    <xf numFmtId="9" fontId="25" fillId="0" borderId="0" xfId="0" applyNumberFormat="1" applyFont="1" applyAlignment="1">
      <alignment horizontal="center" vertical="center"/>
    </xf>
    <xf numFmtId="167" fontId="9" fillId="0" borderId="0" xfId="0" applyNumberFormat="1" applyFont="1" applyAlignment="1">
      <alignment horizontal="center" vertical="center"/>
    </xf>
    <xf numFmtId="1" fontId="9" fillId="0" borderId="0" xfId="0" applyNumberFormat="1" applyFont="1" applyAlignment="1">
      <alignment vertical="center"/>
    </xf>
    <xf numFmtId="0" fontId="23" fillId="0" borderId="0" xfId="0" applyFont="1" applyAlignment="1">
      <alignment vertical="center"/>
    </xf>
    <xf numFmtId="0" fontId="10" fillId="0" borderId="0" xfId="0" applyFont="1"/>
    <xf numFmtId="9" fontId="25" fillId="0" borderId="0" xfId="0" applyNumberFormat="1" applyFont="1" applyAlignment="1">
      <alignment horizontal="center"/>
    </xf>
    <xf numFmtId="179" fontId="0" fillId="0" borderId="0" xfId="0" applyNumberFormat="1" applyAlignment="1">
      <alignment horizontal="center"/>
    </xf>
    <xf numFmtId="179" fontId="24"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8" fillId="0" borderId="0" xfId="0" applyFont="1"/>
    <xf numFmtId="0" fontId="34" fillId="0" borderId="0" xfId="0" applyFont="1"/>
    <xf numFmtId="0" fontId="18" fillId="0" borderId="0" xfId="0" applyFont="1" applyAlignment="1">
      <alignment vertical="center"/>
    </xf>
    <xf numFmtId="0" fontId="18" fillId="0" borderId="0" xfId="0" applyFont="1" applyAlignment="1">
      <alignment horizontal="center" vertical="center"/>
    </xf>
    <xf numFmtId="3" fontId="18" fillId="0" borderId="0" xfId="0" applyNumberFormat="1" applyFont="1" applyAlignment="1">
      <alignment horizontal="center" vertical="center"/>
    </xf>
    <xf numFmtId="9" fontId="18" fillId="0" borderId="0" xfId="0" applyNumberFormat="1" applyFont="1" applyAlignment="1">
      <alignment horizontal="center" vertical="center"/>
    </xf>
    <xf numFmtId="170" fontId="18" fillId="0" borderId="0" xfId="0" applyNumberFormat="1" applyFont="1" applyAlignment="1">
      <alignment horizontal="center" vertical="center"/>
    </xf>
    <xf numFmtId="170" fontId="18" fillId="0" borderId="0" xfId="0" applyNumberFormat="1" applyFont="1" applyAlignment="1">
      <alignment vertical="center"/>
    </xf>
    <xf numFmtId="0" fontId="29" fillId="0" borderId="0" xfId="0" applyFont="1" applyAlignment="1">
      <alignment horizontal="right" vertical="center"/>
    </xf>
    <xf numFmtId="0" fontId="38" fillId="0" borderId="0" xfId="0" applyFont="1"/>
    <xf numFmtId="0" fontId="39" fillId="0" borderId="0" xfId="0" applyFont="1"/>
    <xf numFmtId="0" fontId="40" fillId="0" borderId="0" xfId="0" applyFont="1"/>
    <xf numFmtId="0" fontId="39" fillId="0" borderId="0" xfId="0" applyFont="1" applyAlignment="1">
      <alignment horizontal="right"/>
    </xf>
    <xf numFmtId="0" fontId="38" fillId="0" borderId="0" xfId="0" applyFont="1" applyAlignment="1">
      <alignment horizontal="right"/>
    </xf>
    <xf numFmtId="0" fontId="40" fillId="0" borderId="0" xfId="0" applyFont="1" applyAlignment="1">
      <alignment wrapText="1"/>
    </xf>
    <xf numFmtId="0" fontId="44" fillId="0" borderId="0" xfId="0" applyFont="1"/>
    <xf numFmtId="0" fontId="45" fillId="0" borderId="0" xfId="0" applyFont="1" applyAlignment="1">
      <alignment horizontal="left" vertical="center"/>
    </xf>
    <xf numFmtId="0" fontId="46" fillId="0" borderId="0" xfId="0" applyFont="1" applyAlignment="1">
      <alignment horizontal="left" vertical="center"/>
    </xf>
    <xf numFmtId="0" fontId="47" fillId="0" borderId="0" xfId="0" applyFont="1"/>
    <xf numFmtId="0" fontId="49" fillId="0" borderId="0" xfId="0" applyFont="1"/>
    <xf numFmtId="0" fontId="49" fillId="0" borderId="0" xfId="0" applyFont="1" applyAlignment="1">
      <alignment horizontal="center"/>
    </xf>
    <xf numFmtId="0" fontId="49" fillId="0" borderId="0" xfId="0" applyFont="1" applyAlignment="1">
      <alignment horizontal="right"/>
    </xf>
    <xf numFmtId="0" fontId="51" fillId="0" borderId="0" xfId="0" applyFont="1"/>
    <xf numFmtId="0" fontId="52" fillId="15" borderId="0" xfId="0" applyFont="1" applyFill="1"/>
    <xf numFmtId="0" fontId="49" fillId="15" borderId="0" xfId="0" applyFont="1" applyFill="1"/>
    <xf numFmtId="0" fontId="49" fillId="0" borderId="30" xfId="0" applyFont="1" applyBorder="1"/>
    <xf numFmtId="0" fontId="58" fillId="15" borderId="0" xfId="0" applyFont="1" applyFill="1" applyAlignment="1">
      <alignment vertical="center"/>
    </xf>
    <xf numFmtId="165" fontId="50" fillId="19"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165" fontId="50" fillId="0" borderId="30" xfId="0" applyNumberFormat="1" applyFont="1" applyBorder="1" applyAlignment="1">
      <alignment horizontal="center" vertical="center"/>
    </xf>
    <xf numFmtId="0" fontId="60" fillId="15" borderId="0" xfId="0" applyFont="1" applyFill="1" applyAlignment="1">
      <alignment vertical="center"/>
    </xf>
    <xf numFmtId="165" fontId="49" fillId="2" borderId="30" xfId="0" applyNumberFormat="1" applyFont="1" applyFill="1" applyBorder="1" applyAlignment="1" applyProtection="1">
      <alignment horizontal="center" vertical="center"/>
      <protection locked="0"/>
    </xf>
    <xf numFmtId="4" fontId="49" fillId="0" borderId="30" xfId="0" applyNumberFormat="1" applyFont="1" applyBorder="1"/>
    <xf numFmtId="4" fontId="49" fillId="19" borderId="30" xfId="0" applyNumberFormat="1" applyFont="1" applyFill="1" applyBorder="1" applyAlignment="1">
      <alignment horizontal="center"/>
    </xf>
    <xf numFmtId="0" fontId="41" fillId="0" borderId="0" xfId="0" applyFont="1"/>
    <xf numFmtId="4" fontId="47" fillId="0" borderId="0" xfId="0" applyNumberFormat="1" applyFont="1" applyAlignment="1">
      <alignment horizontal="center"/>
    </xf>
    <xf numFmtId="0" fontId="47" fillId="0" borderId="0" xfId="0" applyFont="1" applyAlignment="1">
      <alignment horizontal="center" vertical="center"/>
    </xf>
    <xf numFmtId="4" fontId="47" fillId="0" borderId="0" xfId="0" applyNumberFormat="1" applyFont="1" applyAlignment="1">
      <alignment horizontal="center" vertical="center"/>
    </xf>
    <xf numFmtId="0" fontId="75" fillId="15" borderId="0" xfId="0" applyFont="1" applyFill="1" applyAlignment="1">
      <alignment vertical="center"/>
    </xf>
    <xf numFmtId="0" fontId="74" fillId="15" borderId="0" xfId="0" applyFont="1" applyFill="1" applyAlignment="1">
      <alignment horizontal="left" vertical="center"/>
    </xf>
    <xf numFmtId="0" fontId="75" fillId="15" borderId="0" xfId="0" applyFont="1" applyFill="1" applyAlignment="1">
      <alignment horizontal="center" vertical="center"/>
    </xf>
    <xf numFmtId="0" fontId="59" fillId="0" borderId="0" xfId="0" applyFont="1" applyAlignment="1">
      <alignment horizontal="right"/>
    </xf>
    <xf numFmtId="0" fontId="59" fillId="0" borderId="0" xfId="0" applyFont="1" applyAlignment="1">
      <alignment horizontal="right" vertical="center"/>
    </xf>
    <xf numFmtId="4" fontId="49" fillId="4" borderId="32" xfId="0" applyNumberFormat="1" applyFont="1" applyFill="1" applyBorder="1" applyAlignment="1">
      <alignment horizontal="center" vertical="center"/>
    </xf>
    <xf numFmtId="4" fontId="49" fillId="3" borderId="32" xfId="0" applyNumberFormat="1" applyFont="1" applyFill="1" applyBorder="1" applyAlignment="1">
      <alignment horizontal="center" vertical="center"/>
    </xf>
    <xf numFmtId="4" fontId="50" fillId="4" borderId="32" xfId="0" applyNumberFormat="1" applyFont="1" applyFill="1" applyBorder="1" applyAlignment="1">
      <alignment horizontal="center" vertical="center"/>
    </xf>
    <xf numFmtId="0" fontId="78" fillId="0" borderId="30" xfId="0" applyFont="1" applyBorder="1" applyAlignment="1">
      <alignment horizontal="right" vertical="center"/>
    </xf>
    <xf numFmtId="0" fontId="59" fillId="0" borderId="30" xfId="0" applyFont="1" applyBorder="1" applyAlignment="1">
      <alignment horizontal="right" vertical="center"/>
    </xf>
    <xf numFmtId="0" fontId="59" fillId="0" borderId="0" xfId="0" applyFont="1" applyAlignment="1">
      <alignment vertical="center"/>
    </xf>
    <xf numFmtId="0" fontId="49" fillId="0" borderId="0" xfId="0" applyFont="1" applyAlignment="1">
      <alignment vertical="center"/>
    </xf>
    <xf numFmtId="4" fontId="49" fillId="5" borderId="30" xfId="0" applyNumberFormat="1" applyFont="1" applyFill="1" applyBorder="1" applyAlignment="1">
      <alignment horizontal="center" vertical="center"/>
    </xf>
    <xf numFmtId="4" fontId="49" fillId="3" borderId="30" xfId="0" applyNumberFormat="1" applyFont="1" applyFill="1" applyBorder="1" applyAlignment="1">
      <alignment horizontal="center" vertical="center"/>
    </xf>
    <xf numFmtId="0" fontId="61" fillId="16" borderId="29" xfId="0" applyFont="1" applyFill="1" applyBorder="1" applyAlignment="1">
      <alignment vertical="center"/>
    </xf>
    <xf numFmtId="0" fontId="49" fillId="0" borderId="31" xfId="0" applyFont="1" applyBorder="1" applyAlignment="1">
      <alignment vertical="center"/>
    </xf>
    <xf numFmtId="0" fontId="59" fillId="0" borderId="28" xfId="0" applyFont="1" applyBorder="1" applyAlignment="1">
      <alignment horizontal="right" vertical="center"/>
    </xf>
    <xf numFmtId="0" fontId="61" fillId="16" borderId="28" xfId="0" applyFont="1" applyFill="1" applyBorder="1" applyAlignment="1">
      <alignment vertical="center"/>
    </xf>
    <xf numFmtId="0" fontId="61" fillId="16" borderId="35" xfId="0" applyFont="1" applyFill="1" applyBorder="1" applyAlignment="1">
      <alignment vertical="center"/>
    </xf>
    <xf numFmtId="0" fontId="61" fillId="16" borderId="35" xfId="0" applyFont="1" applyFill="1" applyBorder="1" applyAlignment="1">
      <alignment horizontal="right" vertical="center"/>
    </xf>
    <xf numFmtId="0" fontId="49" fillId="3" borderId="30" xfId="0" applyFont="1" applyFill="1" applyBorder="1" applyAlignment="1" applyProtection="1">
      <alignment horizontal="center" vertical="center"/>
      <protection locked="0"/>
    </xf>
    <xf numFmtId="165" fontId="49" fillId="3" borderId="30" xfId="0" applyNumberFormat="1" applyFont="1" applyFill="1" applyBorder="1" applyAlignment="1" applyProtection="1">
      <alignment horizontal="center" vertical="center"/>
      <protection locked="0"/>
    </xf>
    <xf numFmtId="0" fontId="49" fillId="0" borderId="30" xfId="0" applyFont="1" applyBorder="1" applyAlignment="1">
      <alignment vertical="center"/>
    </xf>
    <xf numFmtId="0" fontId="67" fillId="5" borderId="30" xfId="0" applyFont="1" applyFill="1" applyBorder="1" applyAlignment="1">
      <alignment horizontal="center" vertical="center"/>
    </xf>
    <xf numFmtId="0" fontId="67" fillId="5" borderId="30" xfId="0" applyFont="1" applyFill="1" applyBorder="1" applyAlignment="1">
      <alignment horizontal="center" vertical="center" wrapText="1"/>
    </xf>
    <xf numFmtId="4" fontId="43" fillId="3" borderId="30" xfId="0" applyNumberFormat="1" applyFont="1" applyFill="1" applyBorder="1" applyAlignment="1">
      <alignment horizontal="center" vertical="center"/>
    </xf>
    <xf numFmtId="0" fontId="41" fillId="3" borderId="28" xfId="0" applyFont="1" applyFill="1" applyBorder="1" applyAlignment="1">
      <alignment horizontal="center" vertical="center"/>
    </xf>
    <xf numFmtId="0" fontId="41" fillId="3" borderId="28" xfId="0" applyFont="1" applyFill="1" applyBorder="1" applyAlignment="1">
      <alignment horizontal="center" vertical="center" wrapText="1"/>
    </xf>
    <xf numFmtId="0" fontId="78" fillId="0" borderId="28" xfId="0" applyFont="1" applyBorder="1" applyAlignment="1">
      <alignment horizontal="right" vertical="center"/>
    </xf>
    <xf numFmtId="0" fontId="43" fillId="0" borderId="28" xfId="0" applyFont="1" applyBorder="1" applyAlignment="1">
      <alignment vertical="center"/>
    </xf>
    <xf numFmtId="4" fontId="68" fillId="5" borderId="30" xfId="0" applyNumberFormat="1" applyFont="1" applyFill="1" applyBorder="1" applyAlignment="1">
      <alignment horizontal="center" vertical="center"/>
    </xf>
    <xf numFmtId="4" fontId="47" fillId="3" borderId="28" xfId="0" applyNumberFormat="1" applyFont="1" applyFill="1" applyBorder="1" applyAlignment="1">
      <alignment horizontal="center" vertical="center"/>
    </xf>
    <xf numFmtId="4" fontId="65" fillId="5" borderId="30" xfId="0" applyNumberFormat="1" applyFont="1" applyFill="1" applyBorder="1" applyAlignment="1">
      <alignment horizontal="center" vertical="center"/>
    </xf>
    <xf numFmtId="0" fontId="47" fillId="0" borderId="0" xfId="0" applyFont="1" applyAlignment="1">
      <alignment vertical="center"/>
    </xf>
    <xf numFmtId="0" fontId="41" fillId="0" borderId="0" xfId="0" applyFont="1" applyAlignment="1">
      <alignment horizontal="right" vertical="center"/>
    </xf>
    <xf numFmtId="0" fontId="82" fillId="16" borderId="28" xfId="0" applyFont="1" applyFill="1" applyBorder="1" applyAlignment="1">
      <alignment horizontal="right" vertical="center"/>
    </xf>
    <xf numFmtId="0" fontId="47" fillId="0" borderId="0" xfId="0" applyFont="1" applyAlignment="1">
      <alignment horizontal="right" vertical="center"/>
    </xf>
    <xf numFmtId="0" fontId="47" fillId="0" borderId="30" xfId="0" applyFont="1" applyBorder="1" applyAlignment="1">
      <alignment vertical="center"/>
    </xf>
    <xf numFmtId="165" fontId="43" fillId="3" borderId="30" xfId="0" applyNumberFormat="1" applyFont="1" applyFill="1" applyBorder="1" applyAlignment="1" applyProtection="1">
      <alignment horizontal="center" vertical="center"/>
      <protection locked="0"/>
    </xf>
    <xf numFmtId="0" fontId="43" fillId="0" borderId="0" xfId="0" applyFont="1" applyAlignment="1">
      <alignment vertical="center"/>
    </xf>
    <xf numFmtId="1" fontId="47" fillId="2" borderId="30" xfId="0" applyNumberFormat="1" applyFont="1" applyFill="1" applyBorder="1" applyAlignment="1" applyProtection="1">
      <alignment horizontal="center" vertical="center"/>
      <protection locked="0"/>
    </xf>
    <xf numFmtId="4" fontId="49" fillId="3" borderId="30" xfId="0" applyNumberFormat="1" applyFont="1" applyFill="1" applyBorder="1" applyAlignment="1">
      <alignment vertical="center"/>
    </xf>
    <xf numFmtId="4" fontId="50" fillId="20" borderId="30" xfId="0" applyNumberFormat="1" applyFont="1" applyFill="1" applyBorder="1" applyAlignment="1">
      <alignment horizontal="center" vertical="center"/>
    </xf>
    <xf numFmtId="0" fontId="84" fillId="16" borderId="28" xfId="0" applyFont="1" applyFill="1" applyBorder="1" applyAlignment="1">
      <alignment horizontal="right" vertical="center"/>
    </xf>
    <xf numFmtId="4" fontId="86" fillId="5" borderId="30" xfId="0" applyNumberFormat="1" applyFont="1" applyFill="1" applyBorder="1" applyAlignment="1">
      <alignment horizontal="center" vertical="center"/>
    </xf>
    <xf numFmtId="4" fontId="49" fillId="19" borderId="4" xfId="0" applyNumberFormat="1" applyFont="1" applyFill="1" applyBorder="1" applyAlignment="1">
      <alignment horizontal="center" vertical="center"/>
    </xf>
    <xf numFmtId="164" fontId="38" fillId="3" borderId="4" xfId="0" applyNumberFormat="1" applyFont="1" applyFill="1" applyBorder="1" applyAlignment="1">
      <alignment horizontal="center" vertical="center"/>
    </xf>
    <xf numFmtId="4" fontId="38" fillId="5" borderId="5" xfId="0" applyNumberFormat="1" applyFont="1" applyFill="1" applyBorder="1" applyAlignment="1">
      <alignment vertical="center"/>
    </xf>
    <xf numFmtId="0" fontId="38" fillId="5" borderId="5" xfId="0" applyFont="1" applyFill="1" applyBorder="1" applyAlignment="1">
      <alignment horizontal="center" vertical="center"/>
    </xf>
    <xf numFmtId="164" fontId="40" fillId="3" borderId="4" xfId="0" applyNumberFormat="1" applyFont="1" applyFill="1" applyBorder="1" applyAlignment="1">
      <alignment horizontal="center" vertical="center"/>
    </xf>
    <xf numFmtId="164" fontId="38" fillId="5" borderId="5" xfId="0" applyNumberFormat="1" applyFont="1" applyFill="1" applyBorder="1" applyAlignment="1">
      <alignment horizontal="center" vertical="center"/>
    </xf>
    <xf numFmtId="165" fontId="39" fillId="5" borderId="5" xfId="0" applyNumberFormat="1" applyFont="1" applyFill="1" applyBorder="1" applyAlignment="1">
      <alignment horizontal="center" vertical="center"/>
    </xf>
    <xf numFmtId="0" fontId="38" fillId="0" borderId="0" xfId="0" applyFont="1" applyAlignment="1">
      <alignment vertical="center"/>
    </xf>
    <xf numFmtId="0" fontId="39" fillId="0" borderId="0" xfId="0" applyFont="1" applyAlignment="1">
      <alignment vertical="center"/>
    </xf>
    <xf numFmtId="0" fontId="38" fillId="5" borderId="5" xfId="0" applyFont="1" applyFill="1" applyBorder="1" applyAlignment="1">
      <alignment vertical="center"/>
    </xf>
    <xf numFmtId="0" fontId="39" fillId="5" borderId="19" xfId="0" applyFont="1" applyFill="1" applyBorder="1" applyAlignment="1">
      <alignment horizontal="center" vertical="center"/>
    </xf>
    <xf numFmtId="0" fontId="39" fillId="5" borderId="5" xfId="0" applyFont="1" applyFill="1" applyBorder="1" applyAlignment="1">
      <alignment horizontal="center" vertical="center"/>
    </xf>
    <xf numFmtId="0" fontId="39" fillId="5" borderId="20" xfId="0" applyFont="1" applyFill="1" applyBorder="1" applyAlignment="1">
      <alignment horizontal="center" vertical="center"/>
    </xf>
    <xf numFmtId="0" fontId="38" fillId="0" borderId="23" xfId="0" applyFont="1" applyBorder="1" applyAlignment="1">
      <alignment vertical="center"/>
    </xf>
    <xf numFmtId="0" fontId="38" fillId="5" borderId="19" xfId="0" applyFont="1" applyFill="1" applyBorder="1" applyAlignment="1">
      <alignment vertical="center"/>
    </xf>
    <xf numFmtId="0" fontId="38" fillId="5" borderId="20" xfId="0" applyFont="1" applyFill="1" applyBorder="1" applyAlignment="1">
      <alignment vertical="center"/>
    </xf>
    <xf numFmtId="0" fontId="38" fillId="0" borderId="23" xfId="0" applyFont="1" applyBorder="1" applyAlignment="1">
      <alignment horizontal="right" vertical="center"/>
    </xf>
    <xf numFmtId="0" fontId="38" fillId="0" borderId="23" xfId="0" applyFont="1" applyBorder="1" applyAlignment="1">
      <alignment horizontal="center" vertical="center"/>
    </xf>
    <xf numFmtId="0" fontId="39" fillId="0" borderId="23" xfId="0" applyFont="1" applyBorder="1" applyAlignment="1">
      <alignment vertical="center"/>
    </xf>
    <xf numFmtId="4" fontId="39" fillId="0" borderId="0" xfId="0" applyNumberFormat="1" applyFont="1" applyAlignment="1">
      <alignment vertical="center"/>
    </xf>
    <xf numFmtId="2" fontId="38" fillId="0" borderId="23" xfId="0" applyNumberFormat="1" applyFont="1" applyBorder="1" applyAlignment="1">
      <alignment vertical="center"/>
    </xf>
    <xf numFmtId="4" fontId="38" fillId="0" borderId="23" xfId="0" applyNumberFormat="1" applyFont="1" applyBorder="1" applyAlignment="1">
      <alignment vertical="center"/>
    </xf>
    <xf numFmtId="2" fontId="38" fillId="5" borderId="5" xfId="0" applyNumberFormat="1" applyFont="1" applyFill="1" applyBorder="1" applyAlignment="1">
      <alignment vertical="center"/>
    </xf>
    <xf numFmtId="4" fontId="38" fillId="0" borderId="0" xfId="0" applyNumberFormat="1" applyFont="1" applyAlignment="1">
      <alignment vertical="center"/>
    </xf>
    <xf numFmtId="0" fontId="38" fillId="0" borderId="0" xfId="0" applyFont="1" applyAlignment="1">
      <alignment horizontal="right" vertical="center"/>
    </xf>
    <xf numFmtId="0" fontId="38" fillId="0" borderId="0" xfId="0" applyFont="1" applyAlignment="1">
      <alignment horizontal="center" vertical="center"/>
    </xf>
    <xf numFmtId="2" fontId="38" fillId="0" borderId="0" xfId="0" applyNumberFormat="1" applyFont="1" applyAlignment="1">
      <alignment vertical="center"/>
    </xf>
    <xf numFmtId="0" fontId="91" fillId="5" borderId="5" xfId="0" applyFont="1" applyFill="1" applyBorder="1" applyAlignment="1">
      <alignment vertical="center"/>
    </xf>
    <xf numFmtId="164" fontId="38" fillId="0" borderId="0" xfId="0" applyNumberFormat="1" applyFont="1" applyAlignment="1">
      <alignment horizontal="right" vertical="center"/>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3" fontId="38" fillId="5" borderId="5" xfId="0" applyNumberFormat="1" applyFont="1" applyFill="1" applyBorder="1" applyAlignment="1">
      <alignment vertical="center"/>
    </xf>
    <xf numFmtId="167" fontId="38" fillId="0" borderId="0" xfId="0" applyNumberFormat="1" applyFont="1" applyAlignment="1">
      <alignment vertical="center"/>
    </xf>
    <xf numFmtId="0" fontId="38" fillId="5" borderId="24" xfId="0" applyFont="1" applyFill="1" applyBorder="1" applyAlignment="1">
      <alignment vertical="center"/>
    </xf>
    <xf numFmtId="0" fontId="38" fillId="5" borderId="25" xfId="0" applyFont="1" applyFill="1" applyBorder="1" applyAlignment="1">
      <alignment vertical="center"/>
    </xf>
    <xf numFmtId="0" fontId="40" fillId="5" borderId="25" xfId="0" applyFont="1" applyFill="1" applyBorder="1" applyAlignment="1">
      <alignment vertical="center"/>
    </xf>
    <xf numFmtId="0" fontId="38" fillId="5" borderId="26" xfId="0" applyFont="1" applyFill="1" applyBorder="1" applyAlignment="1">
      <alignment vertical="center"/>
    </xf>
    <xf numFmtId="0" fontId="61" fillId="16" borderId="31" xfId="0" applyFont="1" applyFill="1" applyBorder="1" applyAlignment="1">
      <alignment vertical="center"/>
    </xf>
    <xf numFmtId="0" fontId="61" fillId="16" borderId="30" xfId="0" applyFont="1" applyFill="1" applyBorder="1" applyAlignment="1">
      <alignment vertical="center"/>
    </xf>
    <xf numFmtId="164" fontId="49" fillId="21" borderId="23" xfId="0" applyNumberFormat="1" applyFont="1" applyFill="1" applyBorder="1" applyAlignment="1" applyProtection="1">
      <alignment horizontal="center" vertical="center"/>
      <protection locked="0"/>
    </xf>
    <xf numFmtId="4" fontId="50" fillId="19" borderId="32"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3" fillId="19" borderId="30" xfId="0" applyNumberFormat="1" applyFont="1" applyFill="1" applyBorder="1" applyAlignment="1">
      <alignment horizontal="center" vertical="center"/>
    </xf>
    <xf numFmtId="3" fontId="47" fillId="19" borderId="30" xfId="0" applyNumberFormat="1" applyFont="1" applyFill="1" applyBorder="1" applyAlignment="1">
      <alignment horizontal="center" vertical="center"/>
    </xf>
    <xf numFmtId="0" fontId="93" fillId="15" borderId="0" xfId="0" applyFont="1" applyFill="1" applyAlignment="1">
      <alignment vertical="center"/>
    </xf>
    <xf numFmtId="0" fontId="58" fillId="15" borderId="0" xfId="0" applyFont="1" applyFill="1" applyAlignment="1">
      <alignment horizontal="left" vertical="center"/>
    </xf>
    <xf numFmtId="0" fontId="40" fillId="15" borderId="0" xfId="0" applyFont="1" applyFill="1" applyAlignment="1">
      <alignment vertical="center"/>
    </xf>
    <xf numFmtId="0" fontId="40" fillId="0" borderId="0" xfId="0" applyFont="1" applyAlignment="1">
      <alignment vertical="center"/>
    </xf>
    <xf numFmtId="0" fontId="63" fillId="0" borderId="0" xfId="0" applyFont="1" applyAlignment="1">
      <alignment horizontal="right" vertical="center"/>
    </xf>
    <xf numFmtId="0" fontId="94" fillId="0" borderId="0" xfId="0" applyFont="1" applyAlignment="1">
      <alignment vertical="center"/>
    </xf>
    <xf numFmtId="165" fontId="47" fillId="27" borderId="30" xfId="0" applyNumberFormat="1" applyFont="1" applyFill="1" applyBorder="1" applyAlignment="1" applyProtection="1">
      <alignment horizontal="center" vertical="center"/>
      <protection locked="0"/>
    </xf>
    <xf numFmtId="0" fontId="100" fillId="16" borderId="31" xfId="0" applyFont="1" applyFill="1" applyBorder="1" applyAlignment="1">
      <alignment vertical="center"/>
    </xf>
    <xf numFmtId="0" fontId="61" fillId="16" borderId="0" xfId="0" applyFont="1" applyFill="1" applyAlignment="1">
      <alignment horizontal="left" vertical="center"/>
    </xf>
    <xf numFmtId="165" fontId="95" fillId="3" borderId="23" xfId="0" applyNumberFormat="1" applyFont="1" applyFill="1" applyBorder="1" applyAlignment="1">
      <alignment horizontal="right" vertical="center"/>
    </xf>
    <xf numFmtId="165" fontId="95" fillId="27" borderId="30" xfId="0" applyNumberFormat="1" applyFont="1" applyFill="1" applyBorder="1" applyAlignment="1" applyProtection="1">
      <alignment horizontal="center" vertical="center"/>
      <protection locked="0"/>
    </xf>
    <xf numFmtId="165" fontId="104" fillId="3" borderId="30" xfId="0" applyNumberFormat="1" applyFont="1" applyFill="1" applyBorder="1" applyAlignment="1">
      <alignment horizontal="center" vertical="center"/>
    </xf>
    <xf numFmtId="164" fontId="94" fillId="27" borderId="30" xfId="0" applyNumberFormat="1" applyFont="1" applyFill="1" applyBorder="1" applyAlignment="1" applyProtection="1">
      <alignment horizontal="center" vertical="center"/>
      <protection locked="0"/>
    </xf>
    <xf numFmtId="4" fontId="95" fillId="27" borderId="30" xfId="0" applyNumberFormat="1" applyFont="1" applyFill="1" applyBorder="1" applyAlignment="1" applyProtection="1">
      <alignment horizontal="center" vertical="center"/>
      <protection locked="0"/>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0" fontId="41" fillId="16" borderId="30" xfId="0" applyFont="1" applyFill="1" applyBorder="1" applyAlignment="1">
      <alignment horizontal="center" vertical="center"/>
    </xf>
    <xf numFmtId="4" fontId="41" fillId="16" borderId="31" xfId="0" applyNumberFormat="1" applyFont="1" applyFill="1" applyBorder="1" applyAlignment="1">
      <alignment horizontal="center" vertical="center"/>
    </xf>
    <xf numFmtId="4" fontId="47" fillId="0" borderId="30" xfId="0" applyNumberFormat="1" applyFont="1" applyBorder="1" applyAlignment="1">
      <alignment horizontal="center" vertical="center"/>
    </xf>
    <xf numFmtId="4" fontId="47"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0" fontId="63" fillId="0" borderId="30" xfId="0" applyFont="1" applyBorder="1" applyAlignment="1">
      <alignment horizontal="center" vertical="center"/>
    </xf>
    <xf numFmtId="0" fontId="43" fillId="0" borderId="30" xfId="0" applyFont="1" applyBorder="1" applyAlignment="1">
      <alignment horizontal="left" vertical="center"/>
    </xf>
    <xf numFmtId="4" fontId="41" fillId="0" borderId="23" xfId="0" applyNumberFormat="1" applyFont="1" applyBorder="1" applyAlignment="1">
      <alignment horizontal="center" vertical="center"/>
    </xf>
    <xf numFmtId="4" fontId="47" fillId="0" borderId="23" xfId="0" applyNumberFormat="1" applyFont="1" applyBorder="1" applyAlignment="1">
      <alignment horizontal="center" vertical="center"/>
    </xf>
    <xf numFmtId="4" fontId="41" fillId="0" borderId="0" xfId="0" applyNumberFormat="1" applyFont="1" applyAlignment="1">
      <alignment horizontal="center" vertical="center"/>
    </xf>
    <xf numFmtId="4" fontId="47" fillId="0" borderId="0" xfId="0" applyNumberFormat="1" applyFont="1" applyAlignment="1">
      <alignment horizontal="right"/>
    </xf>
    <xf numFmtId="0" fontId="47" fillId="0" borderId="0" xfId="0" applyFont="1" applyAlignment="1">
      <alignment horizontal="center"/>
    </xf>
    <xf numFmtId="0" fontId="59" fillId="0" borderId="30" xfId="0" applyFont="1" applyBorder="1" applyAlignment="1">
      <alignment horizontal="left" vertical="center"/>
    </xf>
    <xf numFmtId="2" fontId="100" fillId="16" borderId="30" xfId="0" applyNumberFormat="1" applyFont="1" applyFill="1" applyBorder="1" applyAlignment="1">
      <alignment horizontal="center" vertical="center"/>
    </xf>
    <xf numFmtId="4" fontId="100" fillId="16" borderId="30" xfId="0" applyNumberFormat="1" applyFont="1" applyFill="1" applyBorder="1" applyAlignment="1">
      <alignment horizontal="center" vertical="center"/>
    </xf>
    <xf numFmtId="0" fontId="59" fillId="0" borderId="30" xfId="0" applyFont="1" applyBorder="1" applyAlignment="1">
      <alignment vertical="center" wrapText="1"/>
    </xf>
    <xf numFmtId="0" fontId="110" fillId="0" borderId="0" xfId="0" applyFont="1"/>
    <xf numFmtId="2" fontId="111" fillId="0" borderId="0" xfId="0" applyNumberFormat="1" applyFont="1"/>
    <xf numFmtId="4" fontId="47" fillId="3"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4" fontId="48" fillId="20" borderId="30" xfId="0" applyNumberFormat="1" applyFont="1" applyFill="1" applyBorder="1" applyAlignment="1">
      <alignment horizontal="center" vertical="center"/>
    </xf>
    <xf numFmtId="4" fontId="100" fillId="20" borderId="30" xfId="0" applyNumberFormat="1" applyFont="1" applyFill="1" applyBorder="1" applyAlignment="1">
      <alignment horizontal="center" vertical="center"/>
    </xf>
    <xf numFmtId="0" fontId="43" fillId="0" borderId="0" xfId="0" applyFont="1" applyAlignment="1">
      <alignment horizontal="center" vertical="center"/>
    </xf>
    <xf numFmtId="0" fontId="59" fillId="0" borderId="0" xfId="0" applyFont="1" applyAlignment="1">
      <alignment horizontal="center" vertical="center"/>
    </xf>
    <xf numFmtId="0" fontId="50" fillId="16" borderId="30" xfId="0" applyFont="1" applyFill="1" applyBorder="1" applyAlignment="1">
      <alignment vertical="center"/>
    </xf>
    <xf numFmtId="4" fontId="49" fillId="0" borderId="30" xfId="0" applyNumberFormat="1" applyFont="1" applyBorder="1" applyAlignment="1">
      <alignment horizontal="center" vertical="center"/>
    </xf>
    <xf numFmtId="0" fontId="49" fillId="0" borderId="30" xfId="0" applyFont="1" applyBorder="1" applyAlignment="1">
      <alignment horizontal="center" vertical="center"/>
    </xf>
    <xf numFmtId="165" fontId="49" fillId="0" borderId="30" xfId="0" applyNumberFormat="1" applyFont="1" applyBorder="1" applyAlignment="1">
      <alignment horizontal="center" vertical="center"/>
    </xf>
    <xf numFmtId="0" fontId="48" fillId="16" borderId="29" xfId="0" applyFont="1" applyFill="1" applyBorder="1" applyAlignment="1">
      <alignment vertical="center"/>
    </xf>
    <xf numFmtId="0" fontId="48" fillId="16" borderId="31" xfId="0" applyFont="1" applyFill="1" applyBorder="1" applyAlignment="1">
      <alignment vertical="center"/>
    </xf>
    <xf numFmtId="0" fontId="47" fillId="0" borderId="0" xfId="0" applyFont="1" applyAlignment="1">
      <alignment horizontal="left" vertical="center"/>
    </xf>
    <xf numFmtId="0" fontId="87" fillId="0" borderId="0" xfId="0" applyFont="1" applyAlignment="1">
      <alignment vertical="center"/>
    </xf>
    <xf numFmtId="0" fontId="43" fillId="0" borderId="0" xfId="0" applyFont="1"/>
    <xf numFmtId="3" fontId="41"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3" fontId="63" fillId="0" borderId="30" xfId="0" applyNumberFormat="1" applyFont="1" applyBorder="1" applyAlignment="1">
      <alignment horizontal="center" vertical="center"/>
    </xf>
    <xf numFmtId="0" fontId="41" fillId="19" borderId="30" xfId="0" applyFont="1" applyFill="1" applyBorder="1" applyAlignment="1">
      <alignment horizontal="center" vertical="center"/>
    </xf>
    <xf numFmtId="0" fontId="63" fillId="0" borderId="0" xfId="0" applyFont="1" applyAlignment="1">
      <alignment horizontal="center"/>
    </xf>
    <xf numFmtId="168" fontId="43" fillId="0" borderId="0" xfId="0" applyNumberFormat="1" applyFont="1" applyAlignment="1">
      <alignment horizontal="center" vertical="center"/>
    </xf>
    <xf numFmtId="0" fontId="41" fillId="0" borderId="0" xfId="0" applyFont="1" applyAlignment="1">
      <alignment vertical="center"/>
    </xf>
    <xf numFmtId="168" fontId="47" fillId="0" borderId="0" xfId="0" applyNumberFormat="1" applyFont="1" applyAlignment="1">
      <alignment horizontal="center" vertical="center"/>
    </xf>
    <xf numFmtId="168" fontId="43" fillId="0" borderId="30" xfId="0" applyNumberFormat="1" applyFont="1" applyBorder="1" applyAlignment="1">
      <alignment horizontal="center" vertical="center"/>
    </xf>
    <xf numFmtId="0" fontId="43" fillId="3" borderId="30" xfId="0" applyFont="1" applyFill="1" applyBorder="1" applyAlignment="1">
      <alignment horizontal="center" vertical="center"/>
    </xf>
    <xf numFmtId="9" fontId="41" fillId="2" borderId="30" xfId="0" applyNumberFormat="1" applyFont="1" applyFill="1" applyBorder="1" applyAlignment="1" applyProtection="1">
      <alignment horizontal="center" vertical="center"/>
      <protection locked="0"/>
    </xf>
    <xf numFmtId="0" fontId="47" fillId="0" borderId="31" xfId="0" applyFont="1" applyBorder="1" applyAlignment="1">
      <alignment vertical="center"/>
    </xf>
    <xf numFmtId="9" fontId="47" fillId="0" borderId="30" xfId="0" applyNumberFormat="1" applyFont="1" applyBorder="1" applyAlignment="1">
      <alignment horizontal="center" vertical="center"/>
    </xf>
    <xf numFmtId="168" fontId="63" fillId="0" borderId="30" xfId="0" applyNumberFormat="1" applyFont="1" applyBorder="1" applyAlignment="1">
      <alignment horizontal="center" vertical="center"/>
    </xf>
    <xf numFmtId="0" fontId="63" fillId="0" borderId="30" xfId="0" applyFont="1" applyBorder="1" applyAlignment="1">
      <alignment horizontal="right" vertical="center"/>
    </xf>
    <xf numFmtId="167" fontId="43" fillId="0" borderId="30" xfId="0" applyNumberFormat="1" applyFont="1" applyBorder="1" applyAlignment="1">
      <alignment horizontal="center" vertical="center"/>
    </xf>
    <xf numFmtId="168" fontId="114" fillId="0" borderId="30" xfId="0" applyNumberFormat="1" applyFont="1" applyBorder="1" applyAlignment="1">
      <alignment horizontal="center" vertical="center"/>
    </xf>
    <xf numFmtId="0" fontId="47" fillId="0" borderId="23" xfId="0" applyFont="1" applyBorder="1" applyAlignment="1">
      <alignment vertical="center"/>
    </xf>
    <xf numFmtId="0" fontId="41" fillId="0" borderId="23" xfId="0" applyFont="1" applyBorder="1" applyAlignment="1">
      <alignment vertical="center"/>
    </xf>
    <xf numFmtId="0" fontId="63" fillId="0" borderId="0" xfId="0" applyFont="1" applyAlignment="1">
      <alignment horizontal="center" vertical="center"/>
    </xf>
    <xf numFmtId="0" fontId="43" fillId="0" borderId="23" xfId="0" applyFont="1" applyBorder="1" applyAlignment="1">
      <alignment horizontal="center" vertical="center"/>
    </xf>
    <xf numFmtId="1" fontId="43" fillId="0" borderId="0" xfId="0" applyNumberFormat="1" applyFont="1" applyAlignment="1">
      <alignment horizontal="center" vertical="center"/>
    </xf>
    <xf numFmtId="0" fontId="63" fillId="0" borderId="30" xfId="0" applyFont="1" applyBorder="1" applyAlignment="1">
      <alignment horizontal="left" vertical="center"/>
    </xf>
    <xf numFmtId="175" fontId="43" fillId="0" borderId="30" xfId="0" applyNumberFormat="1" applyFont="1" applyBorder="1" applyAlignment="1">
      <alignment horizontal="center" vertical="center"/>
    </xf>
    <xf numFmtId="3" fontId="63" fillId="0" borderId="28" xfId="0" applyNumberFormat="1" applyFont="1" applyBorder="1" applyAlignment="1">
      <alignment horizontal="center" vertical="center"/>
    </xf>
    <xf numFmtId="0" fontId="120" fillId="0" borderId="28" xfId="0" applyFont="1" applyBorder="1" applyAlignment="1">
      <alignment horizontal="left" vertical="center" wrapText="1"/>
    </xf>
    <xf numFmtId="0" fontId="120" fillId="0" borderId="28" xfId="0" applyFont="1" applyBorder="1" applyAlignment="1">
      <alignment vertical="center" wrapText="1"/>
    </xf>
    <xf numFmtId="164" fontId="43" fillId="0" borderId="28" xfId="0" applyNumberFormat="1" applyFont="1" applyBorder="1" applyAlignment="1">
      <alignment horizontal="center" vertical="center"/>
    </xf>
    <xf numFmtId="1" fontId="43" fillId="0" borderId="28" xfId="0" applyNumberFormat="1" applyFont="1" applyBorder="1" applyAlignment="1">
      <alignment horizontal="center" vertical="center"/>
    </xf>
    <xf numFmtId="0" fontId="43" fillId="0" borderId="28" xfId="0" applyFont="1" applyBorder="1" applyAlignment="1">
      <alignment horizontal="center" vertical="center"/>
    </xf>
    <xf numFmtId="0" fontId="40" fillId="0" borderId="0" xfId="0" applyFont="1" applyAlignment="1" applyProtection="1">
      <alignment vertical="center"/>
      <protection locked="0"/>
    </xf>
    <xf numFmtId="0" fontId="40" fillId="0" borderId="0" xfId="0" applyFont="1" applyAlignment="1">
      <alignment vertical="center" wrapText="1"/>
    </xf>
    <xf numFmtId="0" fontId="40" fillId="0" borderId="0" xfId="0" applyFont="1" applyAlignment="1" applyProtection="1">
      <alignment horizontal="center" vertical="center"/>
      <protection locked="0"/>
    </xf>
    <xf numFmtId="165" fontId="40" fillId="0" borderId="0" xfId="0" applyNumberFormat="1" applyFont="1" applyAlignment="1" applyProtection="1">
      <alignment horizontal="center" vertical="center"/>
      <protection locked="0"/>
    </xf>
    <xf numFmtId="9" fontId="40" fillId="0" borderId="0" xfId="0" applyNumberFormat="1" applyFont="1" applyAlignment="1">
      <alignment horizontal="center" vertical="center"/>
    </xf>
    <xf numFmtId="166" fontId="40" fillId="0" borderId="0" xfId="0" applyNumberFormat="1" applyFont="1" applyAlignment="1" applyProtection="1">
      <alignment horizontal="center" vertical="center"/>
      <protection locked="0"/>
    </xf>
    <xf numFmtId="0" fontId="40" fillId="0" borderId="0" xfId="0" applyFont="1" applyAlignment="1">
      <alignment horizontal="center" vertical="center"/>
    </xf>
    <xf numFmtId="0" fontId="121" fillId="0" borderId="0" xfId="0" applyFont="1" applyAlignment="1">
      <alignment vertical="center"/>
    </xf>
    <xf numFmtId="0" fontId="40" fillId="0" borderId="0" xfId="0" applyFont="1" applyAlignment="1">
      <alignment horizontal="left" vertical="center"/>
    </xf>
    <xf numFmtId="0" fontId="121" fillId="0" borderId="0" xfId="0" applyFont="1" applyAlignment="1">
      <alignment horizontal="center" vertical="center"/>
    </xf>
    <xf numFmtId="0" fontId="40" fillId="0" borderId="0" xfId="0" applyFont="1" applyAlignment="1">
      <alignment horizontal="right" vertical="center"/>
    </xf>
    <xf numFmtId="3" fontId="40" fillId="0" borderId="0" xfId="0" applyNumberFormat="1" applyFont="1" applyAlignment="1">
      <alignment horizontal="center" vertical="center"/>
    </xf>
    <xf numFmtId="164" fontId="40" fillId="0" borderId="0" xfId="0" applyNumberFormat="1" applyFont="1" applyAlignment="1">
      <alignment horizontal="center" vertical="center"/>
    </xf>
    <xf numFmtId="168" fontId="40" fillId="0" borderId="0" xfId="0" applyNumberFormat="1" applyFont="1" applyAlignment="1">
      <alignment horizontal="center" vertical="center"/>
    </xf>
    <xf numFmtId="170" fontId="40" fillId="0" borderId="0" xfId="0" applyNumberFormat="1" applyFont="1" applyAlignment="1">
      <alignment horizontal="center" vertical="center"/>
    </xf>
    <xf numFmtId="170" fontId="40" fillId="0" borderId="0" xfId="0" applyNumberFormat="1" applyFont="1" applyAlignment="1">
      <alignment vertical="center"/>
    </xf>
    <xf numFmtId="0" fontId="40" fillId="0" borderId="5" xfId="0" applyFont="1" applyBorder="1" applyAlignment="1">
      <alignment vertical="center"/>
    </xf>
    <xf numFmtId="170" fontId="40" fillId="0" borderId="5" xfId="0" applyNumberFormat="1" applyFont="1" applyBorder="1" applyAlignment="1">
      <alignment horizontal="center" vertical="center"/>
    </xf>
    <xf numFmtId="0" fontId="121" fillId="0" borderId="5" xfId="0" applyFont="1" applyBorder="1" applyAlignment="1">
      <alignment vertical="center"/>
    </xf>
    <xf numFmtId="173" fontId="40" fillId="0" borderId="0" xfId="0" applyNumberFormat="1" applyFont="1" applyAlignment="1">
      <alignment horizontal="center" vertical="center"/>
    </xf>
    <xf numFmtId="0" fontId="121" fillId="0" borderId="0" xfId="0" applyFont="1" applyAlignment="1">
      <alignment horizontal="right" vertical="center"/>
    </xf>
    <xf numFmtId="9" fontId="40" fillId="0" borderId="31" xfId="0" applyNumberFormat="1" applyFont="1" applyBorder="1" applyAlignment="1">
      <alignment horizontal="center" vertical="center"/>
    </xf>
    <xf numFmtId="0" fontId="63" fillId="0" borderId="0" xfId="0" applyFont="1" applyAlignment="1">
      <alignment vertical="center"/>
    </xf>
    <xf numFmtId="3" fontId="121" fillId="0" borderId="30" xfId="0" applyNumberFormat="1" applyFont="1" applyBorder="1" applyAlignment="1">
      <alignment horizontal="center" vertical="center"/>
    </xf>
    <xf numFmtId="9" fontId="40" fillId="0" borderId="30" xfId="0" applyNumberFormat="1" applyFont="1" applyBorder="1" applyAlignment="1">
      <alignment horizontal="center" vertical="center"/>
    </xf>
    <xf numFmtId="164" fontId="40"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164" fontId="40" fillId="0" borderId="31" xfId="0" applyNumberFormat="1" applyFont="1" applyBorder="1" applyAlignment="1">
      <alignment horizontal="center" vertical="center"/>
    </xf>
    <xf numFmtId="3" fontId="40" fillId="0" borderId="31" xfId="0" applyNumberFormat="1" applyFont="1" applyBorder="1" applyAlignment="1">
      <alignment horizontal="center" vertical="center"/>
    </xf>
    <xf numFmtId="9" fontId="40" fillId="0" borderId="29" xfId="0" applyNumberFormat="1" applyFont="1" applyBorder="1" applyAlignment="1">
      <alignment horizontal="center" vertical="center"/>
    </xf>
    <xf numFmtId="168" fontId="40" fillId="0" borderId="29" xfId="0" applyNumberFormat="1" applyFont="1" applyBorder="1" applyAlignment="1">
      <alignment horizontal="center" vertical="center"/>
    </xf>
    <xf numFmtId="168" fontId="40" fillId="0" borderId="30" xfId="0" applyNumberFormat="1" applyFont="1" applyBorder="1" applyAlignment="1">
      <alignment horizontal="center" vertical="center"/>
    </xf>
    <xf numFmtId="168" fontId="40" fillId="0" borderId="31" xfId="0" applyNumberFormat="1" applyFont="1" applyBorder="1" applyAlignment="1">
      <alignment horizontal="center" vertical="center"/>
    </xf>
    <xf numFmtId="0" fontId="40" fillId="0" borderId="28" xfId="0" applyFont="1" applyBorder="1" applyAlignment="1">
      <alignment vertical="center"/>
    </xf>
    <xf numFmtId="168" fontId="121"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 fontId="38" fillId="0" borderId="30" xfId="0" applyNumberFormat="1" applyFont="1" applyBorder="1" applyAlignment="1">
      <alignment horizontal="center" vertical="center"/>
    </xf>
    <xf numFmtId="0" fontId="38" fillId="0" borderId="30" xfId="0" applyFont="1" applyBorder="1" applyAlignment="1">
      <alignment horizontal="center" vertical="center"/>
    </xf>
    <xf numFmtId="0" fontId="128" fillId="0" borderId="0" xfId="0" applyFont="1" applyAlignment="1">
      <alignment vertical="center"/>
    </xf>
    <xf numFmtId="0" fontId="39" fillId="0" borderId="0" xfId="0" applyFont="1" applyAlignment="1">
      <alignment horizontal="center" vertical="center"/>
    </xf>
    <xf numFmtId="1" fontId="38" fillId="0" borderId="0" xfId="0" applyNumberFormat="1" applyFont="1" applyAlignment="1">
      <alignment horizontal="center" vertical="center"/>
    </xf>
    <xf numFmtId="168" fontId="38" fillId="0" borderId="0" xfId="0" applyNumberFormat="1" applyFont="1" applyAlignment="1">
      <alignment horizontal="center" vertical="center"/>
    </xf>
    <xf numFmtId="3" fontId="38" fillId="0" borderId="0" xfId="0" applyNumberFormat="1" applyFont="1" applyAlignment="1">
      <alignment horizontal="center" vertical="center"/>
    </xf>
    <xf numFmtId="9" fontId="38" fillId="0" borderId="0" xfId="0" applyNumberFormat="1" applyFont="1" applyAlignment="1">
      <alignment horizontal="center" vertical="center"/>
    </xf>
    <xf numFmtId="168" fontId="39" fillId="0" borderId="0" xfId="0" applyNumberFormat="1" applyFont="1" applyAlignment="1">
      <alignment horizontal="center" vertical="center"/>
    </xf>
    <xf numFmtId="9" fontId="91" fillId="0" borderId="0" xfId="0" applyNumberFormat="1" applyFont="1" applyAlignment="1">
      <alignment horizontal="center" vertical="center"/>
    </xf>
    <xf numFmtId="165" fontId="38" fillId="0" borderId="0" xfId="0" applyNumberFormat="1" applyFont="1" applyAlignment="1">
      <alignment horizontal="center" vertical="center"/>
    </xf>
    <xf numFmtId="0" fontId="129" fillId="0" borderId="0" xfId="0" applyFont="1" applyAlignment="1">
      <alignment vertical="center"/>
    </xf>
    <xf numFmtId="0" fontId="130" fillId="0" borderId="0" xfId="0" applyFont="1" applyAlignment="1">
      <alignment vertical="center"/>
    </xf>
    <xf numFmtId="0" fontId="129" fillId="0" borderId="0" xfId="0" applyFont="1"/>
    <xf numFmtId="0" fontId="131" fillId="0" borderId="0" xfId="0" applyFont="1" applyAlignment="1">
      <alignment vertical="center"/>
    </xf>
    <xf numFmtId="9" fontId="129" fillId="0" borderId="0" xfId="0" applyNumberFormat="1" applyFont="1" applyAlignment="1">
      <alignment horizontal="center" vertical="center"/>
    </xf>
    <xf numFmtId="1" fontId="49" fillId="0" borderId="30" xfId="0" applyNumberFormat="1" applyFont="1" applyBorder="1" applyAlignment="1">
      <alignment horizontal="center" vertical="center"/>
    </xf>
    <xf numFmtId="166" fontId="49" fillId="0" borderId="30" xfId="0" applyNumberFormat="1" applyFont="1" applyBorder="1" applyAlignment="1">
      <alignment horizontal="center" vertical="center"/>
    </xf>
    <xf numFmtId="3" fontId="49" fillId="0" borderId="30" xfId="0" applyNumberFormat="1" applyFont="1" applyBorder="1" applyAlignment="1">
      <alignment horizontal="center" vertical="center"/>
    </xf>
    <xf numFmtId="9" fontId="49" fillId="0" borderId="30" xfId="0" applyNumberFormat="1" applyFont="1" applyBorder="1" applyAlignment="1">
      <alignment horizontal="center" vertical="center"/>
    </xf>
    <xf numFmtId="167" fontId="49" fillId="0" borderId="30" xfId="0" applyNumberFormat="1" applyFont="1" applyBorder="1" applyAlignment="1">
      <alignment horizontal="center" vertical="center"/>
    </xf>
    <xf numFmtId="164" fontId="49" fillId="0" borderId="30" xfId="0" applyNumberFormat="1" applyFont="1" applyBorder="1" applyAlignment="1">
      <alignment horizontal="center" vertical="center"/>
    </xf>
    <xf numFmtId="0" fontId="128" fillId="0" borderId="0" xfId="0" applyFont="1" applyAlignment="1">
      <alignment horizontal="center" vertical="center"/>
    </xf>
    <xf numFmtId="9" fontId="39" fillId="0" borderId="0" xfId="0" applyNumberFormat="1" applyFont="1" applyAlignment="1">
      <alignment horizontal="center" vertical="center"/>
    </xf>
    <xf numFmtId="167" fontId="39" fillId="0" borderId="0" xfId="0" applyNumberFormat="1" applyFont="1" applyAlignment="1">
      <alignment horizontal="center" vertical="center"/>
    </xf>
    <xf numFmtId="1" fontId="39" fillId="0" borderId="0" xfId="0" applyNumberFormat="1" applyFont="1" applyAlignment="1">
      <alignment horizontal="center" vertical="center"/>
    </xf>
    <xf numFmtId="0" fontId="129" fillId="0" borderId="30" xfId="0" applyFont="1" applyBorder="1" applyAlignment="1">
      <alignment vertical="center"/>
    </xf>
    <xf numFmtId="3" fontId="130" fillId="0" borderId="30" xfId="0" applyNumberFormat="1" applyFont="1" applyBorder="1" applyAlignment="1">
      <alignment horizontal="center" vertical="center"/>
    </xf>
    <xf numFmtId="177" fontId="130" fillId="0" borderId="30" xfId="0" applyNumberFormat="1" applyFont="1" applyBorder="1" applyAlignment="1">
      <alignment horizontal="center" vertical="center"/>
    </xf>
    <xf numFmtId="0" fontId="129" fillId="0" borderId="30" xfId="0" applyFont="1" applyBorder="1" applyAlignment="1">
      <alignment horizontal="center" vertical="center"/>
    </xf>
    <xf numFmtId="3" fontId="129" fillId="0" borderId="30" xfId="0" applyNumberFormat="1" applyFont="1" applyBorder="1" applyAlignment="1">
      <alignment horizontal="center" vertical="center"/>
    </xf>
    <xf numFmtId="9" fontId="129" fillId="0" borderId="30" xfId="0" applyNumberFormat="1" applyFont="1" applyBorder="1" applyAlignment="1">
      <alignment horizontal="center" vertical="center"/>
    </xf>
    <xf numFmtId="168" fontId="129" fillId="0" borderId="30" xfId="0" applyNumberFormat="1" applyFont="1" applyBorder="1" applyAlignment="1">
      <alignment horizontal="center" vertical="center"/>
    </xf>
    <xf numFmtId="1" fontId="129" fillId="0" borderId="30" xfId="0" applyNumberFormat="1" applyFont="1" applyBorder="1" applyAlignment="1">
      <alignment horizontal="center" vertical="center"/>
    </xf>
    <xf numFmtId="167" fontId="129" fillId="0" borderId="30" xfId="0" applyNumberFormat="1" applyFont="1" applyBorder="1" applyAlignment="1">
      <alignment horizontal="center" vertical="center"/>
    </xf>
    <xf numFmtId="166" fontId="129" fillId="0" borderId="30" xfId="0" applyNumberFormat="1" applyFont="1" applyBorder="1" applyAlignment="1">
      <alignment horizontal="center" vertical="center"/>
    </xf>
    <xf numFmtId="3" fontId="130" fillId="18" borderId="30" xfId="0" applyNumberFormat="1" applyFont="1" applyFill="1" applyBorder="1" applyAlignment="1">
      <alignment horizontal="center" vertical="center"/>
    </xf>
    <xf numFmtId="2" fontId="129" fillId="0" borderId="30" xfId="0" applyNumberFormat="1" applyFont="1" applyBorder="1" applyAlignment="1">
      <alignment horizontal="center" vertical="center"/>
    </xf>
    <xf numFmtId="0" fontId="39" fillId="0" borderId="30" xfId="0" applyFont="1" applyBorder="1" applyAlignment="1">
      <alignment vertical="center"/>
    </xf>
    <xf numFmtId="0" fontId="38" fillId="0" borderId="30" xfId="0" applyFont="1" applyBorder="1" applyAlignment="1">
      <alignment vertical="center"/>
    </xf>
    <xf numFmtId="167" fontId="3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6" fontId="38" fillId="0" borderId="30" xfId="0" applyNumberFormat="1" applyFont="1" applyBorder="1" applyAlignment="1">
      <alignment horizontal="center" vertical="center"/>
    </xf>
    <xf numFmtId="168"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0" fontId="88" fillId="0" borderId="0" xfId="0" applyFont="1" applyAlignment="1">
      <alignment vertical="center"/>
    </xf>
    <xf numFmtId="0" fontId="89" fillId="0" borderId="0" xfId="0" applyFont="1" applyAlignment="1">
      <alignment vertical="center"/>
    </xf>
    <xf numFmtId="1" fontId="89" fillId="0" borderId="30" xfId="0" applyNumberFormat="1" applyFont="1" applyBorder="1" applyAlignment="1">
      <alignment horizontal="center" vertical="center"/>
    </xf>
    <xf numFmtId="165" fontId="38" fillId="0" borderId="30" xfId="0" applyNumberFormat="1" applyFont="1" applyBorder="1" applyAlignment="1">
      <alignment horizontal="center" vertical="center"/>
    </xf>
    <xf numFmtId="4" fontId="38" fillId="0" borderId="30" xfId="0" applyNumberFormat="1" applyFont="1" applyBorder="1" applyAlignment="1">
      <alignment horizontal="center" vertical="center"/>
    </xf>
    <xf numFmtId="0" fontId="38" fillId="9" borderId="5" xfId="0" applyFont="1" applyFill="1" applyBorder="1" applyAlignment="1">
      <alignment horizontal="center" vertical="center"/>
    </xf>
    <xf numFmtId="3" fontId="38" fillId="9" borderId="5" xfId="0" applyNumberFormat="1" applyFont="1" applyFill="1" applyBorder="1" applyAlignment="1">
      <alignment horizontal="center" vertical="center"/>
    </xf>
    <xf numFmtId="1" fontId="38" fillId="9" borderId="5" xfId="0" applyNumberFormat="1" applyFont="1" applyFill="1" applyBorder="1" applyAlignment="1">
      <alignment horizontal="center" vertical="center"/>
    </xf>
    <xf numFmtId="166" fontId="91" fillId="9" borderId="5" xfId="0" applyNumberFormat="1" applyFont="1" applyFill="1" applyBorder="1" applyAlignment="1">
      <alignment horizontal="center" vertical="center"/>
    </xf>
    <xf numFmtId="9" fontId="91" fillId="9" borderId="5" xfId="0" applyNumberFormat="1" applyFont="1" applyFill="1" applyBorder="1" applyAlignment="1">
      <alignment horizontal="center" vertical="center"/>
    </xf>
    <xf numFmtId="164" fontId="91" fillId="9" borderId="5" xfId="0" applyNumberFormat="1" applyFont="1" applyFill="1" applyBorder="1" applyAlignment="1">
      <alignment horizontal="center" vertical="center"/>
    </xf>
    <xf numFmtId="3" fontId="91" fillId="9" borderId="5" xfId="0" applyNumberFormat="1" applyFont="1" applyFill="1" applyBorder="1" applyAlignment="1">
      <alignment horizontal="center" vertical="center"/>
    </xf>
    <xf numFmtId="1" fontId="91" fillId="9" borderId="5" xfId="0" applyNumberFormat="1" applyFont="1" applyFill="1" applyBorder="1" applyAlignment="1">
      <alignment horizontal="center" vertical="center"/>
    </xf>
    <xf numFmtId="9" fontId="38" fillId="10" borderId="5" xfId="0" applyNumberFormat="1" applyFont="1" applyFill="1" applyBorder="1" applyAlignment="1">
      <alignment horizontal="center" vertical="center"/>
    </xf>
    <xf numFmtId="0" fontId="38" fillId="6" borderId="5" xfId="0" applyFont="1" applyFill="1" applyBorder="1" applyAlignment="1">
      <alignment horizontal="left" vertical="center"/>
    </xf>
    <xf numFmtId="0" fontId="38" fillId="6" borderId="5" xfId="0"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6" fontId="91" fillId="6" borderId="5" xfId="0" applyNumberFormat="1" applyFont="1" applyFill="1" applyBorder="1" applyAlignment="1">
      <alignment horizontal="center" vertical="center"/>
    </xf>
    <xf numFmtId="9" fontId="91" fillId="6" borderId="5" xfId="0" applyNumberFormat="1" applyFont="1" applyFill="1" applyBorder="1" applyAlignment="1">
      <alignment horizontal="center" vertical="center"/>
    </xf>
    <xf numFmtId="164" fontId="134" fillId="6" borderId="5" xfId="0" applyNumberFormat="1" applyFont="1" applyFill="1" applyBorder="1" applyAlignment="1">
      <alignment horizontal="center" vertical="center"/>
    </xf>
    <xf numFmtId="9" fontId="134" fillId="6" borderId="5" xfId="0" applyNumberFormat="1" applyFont="1" applyFill="1" applyBorder="1" applyAlignment="1">
      <alignment horizontal="center" vertical="center"/>
    </xf>
    <xf numFmtId="165" fontId="134" fillId="6" borderId="5" xfId="0" applyNumberFormat="1" applyFont="1" applyFill="1" applyBorder="1" applyAlignment="1">
      <alignment horizontal="center" vertical="center"/>
    </xf>
    <xf numFmtId="165" fontId="39" fillId="0" borderId="30" xfId="0" applyNumberFormat="1" applyFont="1" applyBorder="1" applyAlignment="1">
      <alignment horizontal="center" vertical="center"/>
    </xf>
    <xf numFmtId="0" fontId="38" fillId="0" borderId="30" xfId="0" applyFont="1" applyBorder="1"/>
    <xf numFmtId="168" fontId="38" fillId="0" borderId="30" xfId="0" applyNumberFormat="1" applyFont="1" applyBorder="1" applyAlignment="1">
      <alignment horizontal="center"/>
    </xf>
    <xf numFmtId="0" fontId="101" fillId="15" borderId="0" xfId="0" applyFont="1" applyFill="1"/>
    <xf numFmtId="0" fontId="38" fillId="15" borderId="0" xfId="0" applyFont="1" applyFill="1"/>
    <xf numFmtId="0" fontId="92" fillId="15" borderId="0" xfId="0" applyFont="1" applyFill="1"/>
    <xf numFmtId="0" fontId="39" fillId="15" borderId="0" xfId="0" applyFont="1" applyFill="1"/>
    <xf numFmtId="0" fontId="133" fillId="0" borderId="0" xfId="0" applyFont="1" applyAlignment="1">
      <alignment horizontal="right"/>
    </xf>
    <xf numFmtId="0" fontId="124" fillId="16" borderId="0" xfId="0" applyFont="1" applyFill="1" applyAlignment="1">
      <alignment vertical="center"/>
    </xf>
    <xf numFmtId="0" fontId="139" fillId="16" borderId="0" xfId="0" applyFont="1" applyFill="1" applyAlignment="1">
      <alignment vertical="center"/>
    </xf>
    <xf numFmtId="0" fontId="101" fillId="0" borderId="0" xfId="0" applyFont="1" applyAlignment="1">
      <alignment horizontal="right"/>
    </xf>
    <xf numFmtId="0" fontId="102" fillId="0" borderId="0" xfId="0" applyFont="1" applyAlignment="1">
      <alignment horizontal="right"/>
    </xf>
    <xf numFmtId="0" fontId="124" fillId="16" borderId="0" xfId="0" applyFont="1" applyFill="1" applyAlignment="1">
      <alignment horizontal="center" vertical="center"/>
    </xf>
    <xf numFmtId="0" fontId="62" fillId="16" borderId="0" xfId="0" applyFont="1" applyFill="1" applyAlignment="1">
      <alignment horizontal="left" vertical="center"/>
    </xf>
    <xf numFmtId="0" fontId="49" fillId="16" borderId="0" xfId="0" applyFont="1" applyFill="1" applyAlignment="1">
      <alignment horizontal="left" vertical="center"/>
    </xf>
    <xf numFmtId="0" fontId="49" fillId="15" borderId="23" xfId="0" applyFont="1" applyFill="1" applyBorder="1"/>
    <xf numFmtId="0" fontId="49" fillId="15" borderId="23" xfId="0" applyFont="1" applyFill="1" applyBorder="1" applyAlignment="1">
      <alignment horizontal="right"/>
    </xf>
    <xf numFmtId="0" fontId="50" fillId="15" borderId="23" xfId="0" applyFont="1" applyFill="1" applyBorder="1" applyAlignment="1">
      <alignment horizontal="center" vertical="center"/>
    </xf>
    <xf numFmtId="0" fontId="105" fillId="16" borderId="28" xfId="0" applyFont="1" applyFill="1" applyBorder="1" applyAlignment="1">
      <alignment vertical="center"/>
    </xf>
    <xf numFmtId="0" fontId="61" fillId="16" borderId="28" xfId="0" applyFont="1" applyFill="1" applyBorder="1" applyAlignment="1">
      <alignment horizontal="left" vertical="center"/>
    </xf>
    <xf numFmtId="0" fontId="48" fillId="16" borderId="28" xfId="0" applyFont="1" applyFill="1" applyBorder="1" applyAlignment="1">
      <alignment horizontal="center" vertical="center"/>
    </xf>
    <xf numFmtId="0" fontId="41" fillId="16" borderId="28" xfId="0" applyFont="1" applyFill="1" applyBorder="1" applyAlignment="1">
      <alignment horizontal="center" vertical="center"/>
    </xf>
    <xf numFmtId="0" fontId="47" fillId="16" borderId="28" xfId="0" applyFont="1" applyFill="1" applyBorder="1" applyAlignment="1">
      <alignment horizontal="center" vertical="center"/>
    </xf>
    <xf numFmtId="0" fontId="49" fillId="14" borderId="0" xfId="0" applyFont="1" applyFill="1" applyAlignment="1">
      <alignment vertical="center"/>
    </xf>
    <xf numFmtId="0" fontId="49" fillId="14" borderId="0" xfId="0" applyFont="1" applyFill="1"/>
    <xf numFmtId="0" fontId="59" fillId="14" borderId="0" xfId="0" applyFont="1" applyFill="1" applyAlignment="1">
      <alignment horizontal="center" vertical="center"/>
    </xf>
    <xf numFmtId="0" fontId="59" fillId="14" borderId="0" xfId="0" applyFont="1" applyFill="1" applyAlignment="1">
      <alignment vertical="center"/>
    </xf>
    <xf numFmtId="0" fontId="49" fillId="14" borderId="0" xfId="0" applyFont="1" applyFill="1" applyAlignment="1">
      <alignment horizontal="center" vertical="center"/>
    </xf>
    <xf numFmtId="0" fontId="49" fillId="14" borderId="23" xfId="0" applyFont="1" applyFill="1" applyBorder="1" applyAlignment="1">
      <alignment vertical="center"/>
    </xf>
    <xf numFmtId="0" fontId="49"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9" fillId="14" borderId="0" xfId="0" applyFont="1" applyFill="1" applyAlignment="1">
      <alignment vertical="center"/>
    </xf>
    <xf numFmtId="0" fontId="43" fillId="14" borderId="0" xfId="0" applyFont="1" applyFill="1" applyAlignment="1">
      <alignment vertical="center"/>
    </xf>
    <xf numFmtId="0" fontId="43" fillId="14" borderId="0" xfId="0" applyFont="1" applyFill="1" applyAlignment="1">
      <alignment horizontal="center" vertical="center"/>
    </xf>
    <xf numFmtId="3" fontId="43" fillId="14" borderId="0" xfId="0" applyNumberFormat="1" applyFont="1" applyFill="1" applyAlignment="1">
      <alignment vertical="center"/>
    </xf>
    <xf numFmtId="0" fontId="96" fillId="14" borderId="0" xfId="0" applyFont="1" applyFill="1" applyAlignment="1">
      <alignment vertical="center"/>
    </xf>
    <xf numFmtId="0" fontId="43" fillId="14" borderId="23" xfId="0" applyFont="1" applyFill="1" applyBorder="1" applyAlignment="1">
      <alignment horizontal="center" vertical="center"/>
    </xf>
    <xf numFmtId="10" fontId="43" fillId="14" borderId="0" xfId="0" applyNumberFormat="1" applyFont="1" applyFill="1" applyAlignment="1">
      <alignment vertical="center"/>
    </xf>
    <xf numFmtId="10" fontId="43" fillId="14" borderId="0" xfId="0" applyNumberFormat="1" applyFont="1" applyFill="1" applyAlignment="1">
      <alignment horizontal="center" vertical="center"/>
    </xf>
    <xf numFmtId="0" fontId="63" fillId="14" borderId="0" xfId="0" applyFont="1" applyFill="1" applyAlignment="1">
      <alignment horizontal="right" vertical="center"/>
    </xf>
    <xf numFmtId="3" fontId="63" fillId="14" borderId="0" xfId="0" applyNumberFormat="1" applyFont="1" applyFill="1" applyAlignment="1">
      <alignment horizontal="center" vertical="center"/>
    </xf>
    <xf numFmtId="0" fontId="43" fillId="14" borderId="23" xfId="0" applyFont="1" applyFill="1" applyBorder="1" applyAlignment="1">
      <alignment vertical="center"/>
    </xf>
    <xf numFmtId="3" fontId="43" fillId="14" borderId="0" xfId="0" applyNumberFormat="1" applyFont="1" applyFill="1" applyAlignment="1">
      <alignment horizontal="center" vertical="center"/>
    </xf>
    <xf numFmtId="3" fontId="43" fillId="14" borderId="23" xfId="0" applyNumberFormat="1" applyFont="1" applyFill="1" applyBorder="1" applyAlignment="1">
      <alignment horizontal="center" vertical="center"/>
    </xf>
    <xf numFmtId="0" fontId="43" fillId="14" borderId="23" xfId="0" applyFont="1" applyFill="1" applyBorder="1" applyAlignment="1" applyProtection="1">
      <alignment vertical="center"/>
      <protection locked="0"/>
    </xf>
    <xf numFmtId="165" fontId="43" fillId="14" borderId="0" xfId="0" applyNumberFormat="1" applyFont="1" applyFill="1" applyAlignment="1">
      <alignment horizontal="center" vertical="center"/>
    </xf>
    <xf numFmtId="168" fontId="63" fillId="14" borderId="0" xfId="0" applyNumberFormat="1" applyFont="1" applyFill="1" applyAlignment="1">
      <alignment horizontal="center" vertical="center"/>
    </xf>
    <xf numFmtId="0" fontId="43" fillId="14" borderId="0" xfId="0" applyFont="1" applyFill="1"/>
    <xf numFmtId="0" fontId="118" fillId="14" borderId="0" xfId="0" applyFont="1" applyFill="1" applyAlignment="1">
      <alignment vertical="center"/>
    </xf>
    <xf numFmtId="1" fontId="43" fillId="14" borderId="0" xfId="0" applyNumberFormat="1" applyFont="1" applyFill="1" applyAlignment="1">
      <alignment horizontal="center" vertical="center"/>
    </xf>
    <xf numFmtId="0" fontId="130" fillId="14" borderId="0" xfId="0" applyFont="1" applyFill="1" applyAlignment="1">
      <alignment vertical="center"/>
    </xf>
    <xf numFmtId="0" fontId="129" fillId="14" borderId="0" xfId="0" applyFont="1" applyFill="1" applyAlignment="1">
      <alignment vertical="center"/>
    </xf>
    <xf numFmtId="0" fontId="50" fillId="14" borderId="0" xfId="0" applyFont="1" applyFill="1" applyAlignment="1">
      <alignment vertical="center"/>
    </xf>
    <xf numFmtId="0" fontId="53" fillId="14" borderId="0" xfId="0" applyFont="1" applyFill="1" applyAlignment="1">
      <alignment vertical="center"/>
    </xf>
    <xf numFmtId="0" fontId="53" fillId="38" borderId="5" xfId="0" applyFont="1" applyFill="1" applyBorder="1" applyAlignment="1">
      <alignment vertical="center"/>
    </xf>
    <xf numFmtId="0" fontId="131" fillId="14" borderId="0" xfId="0" applyFont="1" applyFill="1" applyAlignment="1">
      <alignment vertical="center"/>
    </xf>
    <xf numFmtId="0" fontId="39" fillId="14" borderId="0" xfId="0" applyFont="1" applyFill="1" applyAlignment="1">
      <alignment vertical="center"/>
    </xf>
    <xf numFmtId="0" fontId="38" fillId="14" borderId="0" xfId="0" applyFont="1" applyFill="1" applyAlignment="1">
      <alignment vertical="center"/>
    </xf>
    <xf numFmtId="0" fontId="10" fillId="14" borderId="0" xfId="0" applyFont="1" applyFill="1" applyAlignment="1">
      <alignment vertical="center"/>
    </xf>
    <xf numFmtId="0" fontId="8" fillId="14" borderId="0" xfId="0" applyFont="1" applyFill="1" applyAlignment="1">
      <alignment vertical="center"/>
    </xf>
    <xf numFmtId="0" fontId="131" fillId="38" borderId="5" xfId="0" applyFont="1" applyFill="1" applyBorder="1" applyAlignment="1">
      <alignment vertical="center"/>
    </xf>
    <xf numFmtId="0" fontId="132" fillId="14" borderId="0" xfId="0" applyFont="1" applyFill="1" applyAlignment="1">
      <alignment vertical="center"/>
    </xf>
    <xf numFmtId="4" fontId="49" fillId="14" borderId="0" xfId="0" applyNumberFormat="1" applyFont="1" applyFill="1" applyAlignment="1">
      <alignment horizontal="center" vertical="center"/>
    </xf>
    <xf numFmtId="0" fontId="0" fillId="0" borderId="0" xfId="0" applyAlignment="1">
      <alignment horizontal="center"/>
    </xf>
    <xf numFmtId="0" fontId="71" fillId="16" borderId="30" xfId="0" applyFont="1" applyFill="1" applyBorder="1" applyAlignment="1">
      <alignment horizontal="center" vertical="center" wrapText="1"/>
    </xf>
    <xf numFmtId="0" fontId="61" fillId="16" borderId="30" xfId="0" applyFont="1" applyFill="1" applyBorder="1" applyAlignment="1">
      <alignment horizontal="center" vertical="center"/>
    </xf>
    <xf numFmtId="0" fontId="61" fillId="16" borderId="30" xfId="0" applyFont="1" applyFill="1" applyBorder="1" applyAlignment="1">
      <alignment horizontal="center" vertical="center" wrapText="1"/>
    </xf>
    <xf numFmtId="165" fontId="49" fillId="19" borderId="30" xfId="0" applyNumberFormat="1" applyFont="1" applyFill="1" applyBorder="1" applyAlignment="1">
      <alignment horizontal="center" vertical="center"/>
    </xf>
    <xf numFmtId="0" fontId="71" fillId="16" borderId="30" xfId="0" applyFont="1" applyFill="1" applyBorder="1" applyAlignment="1">
      <alignment horizontal="center" vertical="center"/>
    </xf>
    <xf numFmtId="0" fontId="26" fillId="16" borderId="30" xfId="0" applyFont="1" applyFill="1" applyBorder="1" applyAlignment="1">
      <alignment horizontal="center" vertical="center"/>
    </xf>
    <xf numFmtId="0" fontId="26" fillId="16" borderId="30" xfId="0" applyFont="1" applyFill="1" applyBorder="1" applyAlignment="1">
      <alignment horizontal="center" vertical="center" wrapText="1"/>
    </xf>
    <xf numFmtId="0" fontId="59" fillId="0" borderId="30" xfId="0" applyFont="1" applyBorder="1" applyAlignment="1">
      <alignment vertical="center"/>
    </xf>
    <xf numFmtId="0" fontId="105" fillId="16" borderId="29" xfId="0" applyFont="1" applyFill="1" applyBorder="1" applyAlignment="1">
      <alignment vertical="center"/>
    </xf>
    <xf numFmtId="0" fontId="59" fillId="0" borderId="29" xfId="0" applyFont="1" applyBorder="1" applyAlignment="1">
      <alignment horizontal="right" vertical="center"/>
    </xf>
    <xf numFmtId="0" fontId="43" fillId="0" borderId="30" xfId="0" applyFont="1" applyBorder="1" applyAlignment="1">
      <alignment vertical="center"/>
    </xf>
    <xf numFmtId="0" fontId="43" fillId="0" borderId="29" xfId="0" applyFont="1" applyBorder="1" applyAlignment="1">
      <alignment horizontal="center" vertical="center"/>
    </xf>
    <xf numFmtId="0" fontId="62" fillId="16" borderId="29" xfId="0" applyFont="1" applyFill="1" applyBorder="1" applyAlignment="1">
      <alignment vertical="center"/>
    </xf>
    <xf numFmtId="0" fontId="27" fillId="16" borderId="30" xfId="0" applyFont="1" applyFill="1" applyBorder="1" applyAlignment="1">
      <alignment horizontal="center" vertical="center"/>
    </xf>
    <xf numFmtId="0" fontId="48" fillId="16" borderId="30" xfId="0" applyFont="1" applyFill="1" applyBorder="1" applyAlignment="1">
      <alignment horizontal="center" vertical="center"/>
    </xf>
    <xf numFmtId="0" fontId="47" fillId="0" borderId="30" xfId="0" applyFont="1" applyBorder="1" applyAlignment="1">
      <alignment horizontal="center" vertical="center"/>
    </xf>
    <xf numFmtId="0" fontId="100" fillId="16" borderId="30" xfId="0" applyFont="1" applyFill="1" applyBorder="1" applyAlignment="1">
      <alignment horizontal="center" vertical="center"/>
    </xf>
    <xf numFmtId="0" fontId="43" fillId="0" borderId="30" xfId="0" applyFont="1" applyBorder="1" applyAlignment="1">
      <alignment horizontal="center" vertical="center"/>
    </xf>
    <xf numFmtId="0" fontId="43" fillId="0" borderId="23" xfId="0" applyFont="1" applyBorder="1" applyAlignment="1">
      <alignment vertical="center"/>
    </xf>
    <xf numFmtId="0" fontId="105" fillId="0" borderId="0" xfId="0" applyFont="1" applyAlignment="1">
      <alignment vertical="center"/>
    </xf>
    <xf numFmtId="0" fontId="44" fillId="0" borderId="0" xfId="0" applyFont="1" applyAlignment="1">
      <alignment horizontal="left" vertical="center"/>
    </xf>
    <xf numFmtId="0" fontId="140" fillId="0" borderId="0" xfId="0" applyFont="1" applyAlignment="1">
      <alignment horizontal="left" vertical="center"/>
    </xf>
    <xf numFmtId="0" fontId="52" fillId="14" borderId="0" xfId="0" applyFont="1" applyFill="1"/>
    <xf numFmtId="0" fontId="60" fillId="14" borderId="0" xfId="0" applyFont="1" applyFill="1" applyAlignment="1">
      <alignment vertical="center"/>
    </xf>
    <xf numFmtId="0" fontId="58" fillId="14" borderId="0" xfId="0" applyFont="1" applyFill="1" applyAlignment="1">
      <alignment vertical="center"/>
    </xf>
    <xf numFmtId="0" fontId="49" fillId="14" borderId="0" xfId="0" applyFont="1" applyFill="1" applyAlignment="1">
      <alignment horizontal="center"/>
    </xf>
    <xf numFmtId="0" fontId="49" fillId="14" borderId="23" xfId="0" applyFont="1" applyFill="1" applyBorder="1"/>
    <xf numFmtId="0" fontId="50" fillId="14" borderId="0" xfId="0" applyFont="1" applyFill="1" applyAlignment="1">
      <alignment horizontal="right" vertical="center"/>
    </xf>
    <xf numFmtId="0" fontId="50" fillId="14" borderId="0" xfId="0" applyFont="1" applyFill="1"/>
    <xf numFmtId="3" fontId="49"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2" fontId="51" fillId="24" borderId="30" xfId="0" applyNumberFormat="1" applyFont="1" applyFill="1" applyBorder="1" applyAlignment="1" applyProtection="1">
      <alignment horizontal="center" vertical="center"/>
      <protection locked="0"/>
    </xf>
    <xf numFmtId="0" fontId="49" fillId="24" borderId="30" xfId="0" applyFont="1" applyFill="1" applyBorder="1" applyAlignment="1" applyProtection="1">
      <alignment horizontal="center" vertical="center"/>
      <protection locked="0"/>
    </xf>
    <xf numFmtId="0" fontId="49" fillId="19" borderId="30" xfId="0" applyFont="1" applyFill="1" applyBorder="1" applyAlignment="1">
      <alignment horizontal="center" vertical="center"/>
    </xf>
    <xf numFmtId="0" fontId="59" fillId="3" borderId="30" xfId="0" applyFont="1" applyFill="1" applyBorder="1" applyAlignment="1">
      <alignment horizontal="left" vertical="center"/>
    </xf>
    <xf numFmtId="0" fontId="48" fillId="20" borderId="30" xfId="0" applyFont="1" applyFill="1" applyBorder="1" applyAlignment="1">
      <alignment horizontal="center" vertical="center"/>
    </xf>
    <xf numFmtId="0" fontId="58" fillId="15" borderId="37" xfId="0" applyFont="1" applyFill="1" applyBorder="1" applyAlignment="1">
      <alignment vertical="center"/>
    </xf>
    <xf numFmtId="0" fontId="60" fillId="15" borderId="35" xfId="0" applyFont="1" applyFill="1" applyBorder="1" applyAlignment="1">
      <alignment vertical="center"/>
    </xf>
    <xf numFmtId="0" fontId="60" fillId="15" borderId="36" xfId="0" applyFont="1" applyFill="1" applyBorder="1" applyAlignment="1">
      <alignment vertical="center"/>
    </xf>
    <xf numFmtId="0" fontId="49" fillId="14" borderId="0" xfId="0" applyFont="1" applyFill="1" applyAlignment="1">
      <alignment horizontal="right"/>
    </xf>
    <xf numFmtId="0" fontId="51" fillId="14" borderId="0" xfId="0" applyFont="1" applyFill="1"/>
    <xf numFmtId="0" fontId="49" fillId="14" borderId="0" xfId="0" applyFont="1" applyFill="1" applyAlignment="1">
      <alignment horizontal="left"/>
    </xf>
    <xf numFmtId="0" fontId="50" fillId="14" borderId="0" xfId="0" applyFont="1" applyFill="1" applyAlignment="1">
      <alignment horizontal="left"/>
    </xf>
    <xf numFmtId="4" fontId="49" fillId="14" borderId="0" xfId="0" applyNumberFormat="1" applyFont="1" applyFill="1"/>
    <xf numFmtId="0" fontId="49" fillId="14" borderId="0" xfId="0" applyFont="1" applyFill="1" applyAlignment="1">
      <alignment horizontal="right" vertical="center"/>
    </xf>
    <xf numFmtId="0" fontId="49" fillId="16" borderId="30" xfId="0" applyFont="1" applyFill="1" applyBorder="1"/>
    <xf numFmtId="4" fontId="49" fillId="19" borderId="30" xfId="0" applyNumberFormat="1"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50" fillId="15" borderId="38" xfId="0" applyFont="1" applyFill="1" applyBorder="1"/>
    <xf numFmtId="0" fontId="49" fillId="15" borderId="41" xfId="0" applyFont="1" applyFill="1" applyBorder="1"/>
    <xf numFmtId="0" fontId="57" fillId="23" borderId="23" xfId="0" applyFont="1" applyFill="1" applyBorder="1" applyAlignment="1">
      <alignment vertical="center"/>
    </xf>
    <xf numFmtId="0" fontId="49" fillId="17" borderId="23" xfId="0" applyFont="1" applyFill="1" applyBorder="1" applyAlignment="1">
      <alignment vertical="center"/>
    </xf>
    <xf numFmtId="0" fontId="49" fillId="18" borderId="23" xfId="0" applyFont="1" applyFill="1" applyBorder="1" applyAlignment="1">
      <alignment vertical="center"/>
    </xf>
    <xf numFmtId="0" fontId="51" fillId="14" borderId="0" xfId="0" applyFont="1" applyFill="1" applyAlignment="1">
      <alignment horizontal="left" vertical="center"/>
    </xf>
    <xf numFmtId="164" fontId="49" fillId="19" borderId="30" xfId="0" applyNumberFormat="1" applyFont="1" applyFill="1" applyBorder="1" applyAlignment="1">
      <alignment horizontal="center" vertical="center"/>
    </xf>
    <xf numFmtId="0" fontId="59" fillId="14" borderId="0" xfId="0" applyFont="1" applyFill="1" applyAlignment="1">
      <alignment horizontal="right" vertical="center"/>
    </xf>
    <xf numFmtId="0" fontId="133" fillId="14" borderId="0" xfId="0" applyFont="1" applyFill="1"/>
    <xf numFmtId="0" fontId="59" fillId="14" borderId="0" xfId="0" applyFont="1" applyFill="1" applyAlignment="1">
      <alignment horizontal="right"/>
    </xf>
    <xf numFmtId="0" fontId="49" fillId="14" borderId="28" xfId="0" applyFont="1" applyFill="1" applyBorder="1"/>
    <xf numFmtId="0" fontId="59" fillId="14" borderId="28" xfId="0" applyFont="1" applyFill="1" applyBorder="1" applyAlignment="1">
      <alignment horizontal="right" vertical="center"/>
    </xf>
    <xf numFmtId="0" fontId="49" fillId="14" borderId="28" xfId="0" applyFont="1" applyFill="1" applyBorder="1" applyAlignment="1">
      <alignment vertical="center"/>
    </xf>
    <xf numFmtId="0" fontId="50" fillId="14" borderId="0" xfId="0" applyFont="1" applyFill="1" applyAlignment="1">
      <alignment horizontal="center" vertical="center"/>
    </xf>
    <xf numFmtId="0" fontId="47" fillId="14" borderId="0" xfId="0" applyFont="1" applyFill="1"/>
    <xf numFmtId="0" fontId="15" fillId="14" borderId="0" xfId="0" applyFont="1" applyFill="1"/>
    <xf numFmtId="0" fontId="73" fillId="14" borderId="0" xfId="0" applyFont="1" applyFill="1" applyAlignment="1">
      <alignment vertical="center"/>
    </xf>
    <xf numFmtId="0" fontId="15" fillId="14" borderId="0" xfId="0" applyFont="1" applyFill="1" applyAlignment="1">
      <alignment horizontal="center"/>
    </xf>
    <xf numFmtId="0" fontId="73" fillId="14" borderId="0" xfId="0" applyFont="1" applyFill="1" applyAlignment="1">
      <alignment horizontal="center" vertical="center"/>
    </xf>
    <xf numFmtId="0" fontId="34" fillId="14" borderId="0" xfId="0" applyFont="1" applyFill="1"/>
    <xf numFmtId="0" fontId="15" fillId="14" borderId="0" xfId="0" applyFont="1" applyFill="1" applyAlignment="1">
      <alignment vertical="center"/>
    </xf>
    <xf numFmtId="0" fontId="79" fillId="14" borderId="0" xfId="0" applyFont="1" applyFill="1" applyAlignment="1">
      <alignment vertical="center"/>
    </xf>
    <xf numFmtId="0" fontId="81" fillId="14" borderId="0" xfId="0" applyFont="1" applyFill="1" applyAlignment="1">
      <alignment horizontal="right" vertical="center"/>
    </xf>
    <xf numFmtId="0" fontId="47" fillId="14" borderId="0" xfId="0" applyFont="1" applyFill="1" applyAlignment="1">
      <alignment horizontal="right"/>
    </xf>
    <xf numFmtId="4" fontId="83" fillId="14" borderId="0" xfId="0" applyNumberFormat="1" applyFont="1" applyFill="1" applyAlignment="1">
      <alignment horizontal="center" vertical="center"/>
    </xf>
    <xf numFmtId="0" fontId="63" fillId="14" borderId="0" xfId="0" applyFont="1" applyFill="1" applyAlignment="1">
      <alignment horizontal="left" vertical="center"/>
    </xf>
    <xf numFmtId="0" fontId="47" fillId="14" borderId="0" xfId="0" applyFont="1" applyFill="1" applyAlignment="1">
      <alignment vertical="center"/>
    </xf>
    <xf numFmtId="0" fontId="48" fillId="16" borderId="0" xfId="0" applyFont="1" applyFill="1" applyAlignment="1">
      <alignment vertical="center"/>
    </xf>
    <xf numFmtId="0" fontId="100" fillId="16" borderId="0" xfId="0" applyFont="1" applyFill="1"/>
    <xf numFmtId="0" fontId="49" fillId="14" borderId="0" xfId="0" applyFont="1" applyFill="1" applyAlignment="1">
      <alignment horizontal="left" vertical="center"/>
    </xf>
    <xf numFmtId="4" fontId="49" fillId="14" borderId="0" xfId="0" applyNumberFormat="1" applyFont="1" applyFill="1" applyAlignment="1">
      <alignment horizontal="center"/>
    </xf>
    <xf numFmtId="0" fontId="59" fillId="14" borderId="0" xfId="0" applyFont="1" applyFill="1" applyAlignment="1">
      <alignment horizontal="left"/>
    </xf>
    <xf numFmtId="4" fontId="47" fillId="14" borderId="0" xfId="0" applyNumberFormat="1" applyFont="1" applyFill="1" applyAlignment="1">
      <alignment horizontal="left"/>
    </xf>
    <xf numFmtId="4" fontId="47" fillId="14" borderId="0" xfId="0" applyNumberFormat="1" applyFont="1" applyFill="1" applyAlignment="1">
      <alignment horizontal="center"/>
    </xf>
    <xf numFmtId="4" fontId="41" fillId="14" borderId="0" xfId="0" applyNumberFormat="1" applyFont="1" applyFill="1" applyAlignment="1">
      <alignment horizontal="center"/>
    </xf>
    <xf numFmtId="4" fontId="47" fillId="14" borderId="0" xfId="0" applyNumberFormat="1" applyFont="1" applyFill="1"/>
    <xf numFmtId="0" fontId="49" fillId="14" borderId="23" xfId="0" applyFont="1" applyFill="1" applyBorder="1" applyAlignment="1">
      <alignment horizontal="center"/>
    </xf>
    <xf numFmtId="4" fontId="49" fillId="14" borderId="23" xfId="0" applyNumberFormat="1" applyFont="1" applyFill="1" applyBorder="1"/>
    <xf numFmtId="0" fontId="78" fillId="14" borderId="30" xfId="0" applyFont="1" applyFill="1" applyBorder="1" applyAlignment="1">
      <alignment horizontal="right" vertical="center"/>
    </xf>
    <xf numFmtId="0" fontId="59" fillId="14" borderId="30" xfId="0" applyFont="1" applyFill="1" applyBorder="1" applyAlignment="1">
      <alignment horizontal="right" vertical="center"/>
    </xf>
    <xf numFmtId="0" fontId="77" fillId="16" borderId="36" xfId="0" applyFont="1" applyFill="1" applyBorder="1" applyAlignment="1">
      <alignment horizontal="left" vertical="center"/>
    </xf>
    <xf numFmtId="0" fontId="59" fillId="14" borderId="23" xfId="0" applyFont="1" applyFill="1" applyBorder="1" applyAlignment="1">
      <alignment horizontal="right" vertical="center"/>
    </xf>
    <xf numFmtId="0" fontId="77" fillId="16" borderId="35" xfId="0" applyFont="1" applyFill="1" applyBorder="1" applyAlignment="1">
      <alignment horizontal="left" vertical="center"/>
    </xf>
    <xf numFmtId="0" fontId="49" fillId="14" borderId="27" xfId="0" applyFont="1" applyFill="1" applyBorder="1"/>
    <xf numFmtId="0" fontId="59" fillId="14" borderId="27" xfId="0" applyFont="1" applyFill="1" applyBorder="1" applyAlignment="1">
      <alignment horizontal="right" vertical="center"/>
    </xf>
    <xf numFmtId="0" fontId="59" fillId="14" borderId="29" xfId="0" applyFont="1" applyFill="1" applyBorder="1" applyAlignment="1">
      <alignment horizontal="right" vertical="center"/>
    </xf>
    <xf numFmtId="2" fontId="49" fillId="14" borderId="23" xfId="0" applyNumberFormat="1" applyFont="1" applyFill="1" applyBorder="1" applyAlignment="1">
      <alignment horizontal="center"/>
    </xf>
    <xf numFmtId="2" fontId="49" fillId="14" borderId="0" xfId="0" applyNumberFormat="1" applyFont="1" applyFill="1" applyAlignment="1">
      <alignment horizontal="center"/>
    </xf>
    <xf numFmtId="2" fontId="49" fillId="14" borderId="7" xfId="0" applyNumberFormat="1" applyFont="1" applyFill="1" applyBorder="1" applyAlignment="1">
      <alignment horizontal="center" vertical="center"/>
    </xf>
    <xf numFmtId="2" fontId="49" fillId="14" borderId="0" xfId="0" applyNumberFormat="1" applyFont="1" applyFill="1" applyAlignment="1">
      <alignment vertical="center"/>
    </xf>
    <xf numFmtId="0" fontId="53" fillId="14" borderId="0" xfId="0" applyFont="1" applyFill="1" applyAlignment="1">
      <alignment horizontal="right" vertical="center"/>
    </xf>
    <xf numFmtId="0" fontId="65" fillId="14" borderId="0" xfId="0" applyFont="1" applyFill="1"/>
    <xf numFmtId="0" fontId="43" fillId="14" borderId="23" xfId="0" applyFont="1" applyFill="1" applyBorder="1" applyAlignment="1">
      <alignment horizontal="right" vertical="center"/>
    </xf>
    <xf numFmtId="2" fontId="47" fillId="14" borderId="0" xfId="0" applyNumberFormat="1" applyFont="1" applyFill="1" applyAlignment="1">
      <alignment horizontal="center" vertical="center"/>
    </xf>
    <xf numFmtId="0" fontId="64" fillId="14" borderId="0" xfId="0" applyFont="1" applyFill="1" applyAlignment="1">
      <alignment vertical="center"/>
    </xf>
    <xf numFmtId="0" fontId="69" fillId="14" borderId="0" xfId="0" applyFont="1" applyFill="1" applyAlignment="1">
      <alignment horizontal="right"/>
    </xf>
    <xf numFmtId="0" fontId="65" fillId="14" borderId="0" xfId="0" applyFont="1" applyFill="1" applyAlignment="1">
      <alignment vertical="center"/>
    </xf>
    <xf numFmtId="0" fontId="66" fillId="14" borderId="0" xfId="0" applyFont="1" applyFill="1" applyAlignment="1">
      <alignment vertical="center"/>
    </xf>
    <xf numFmtId="0" fontId="47" fillId="14" borderId="0" xfId="0" applyFont="1" applyFill="1" applyAlignment="1">
      <alignment horizontal="right" vertical="center"/>
    </xf>
    <xf numFmtId="0" fontId="70" fillId="14" borderId="0" xfId="0" applyFont="1" applyFill="1" applyAlignment="1">
      <alignment vertical="center"/>
    </xf>
    <xf numFmtId="0" fontId="43" fillId="14" borderId="28" xfId="0" applyFont="1" applyFill="1" applyBorder="1" applyAlignment="1">
      <alignment vertical="center"/>
    </xf>
    <xf numFmtId="0" fontId="47" fillId="14" borderId="28" xfId="0" applyFont="1" applyFill="1" applyBorder="1" applyAlignment="1">
      <alignment vertical="center"/>
    </xf>
    <xf numFmtId="0" fontId="43" fillId="14" borderId="31" xfId="0" applyFont="1" applyFill="1" applyBorder="1" applyAlignment="1">
      <alignment vertical="center"/>
    </xf>
    <xf numFmtId="0" fontId="47" fillId="14" borderId="29" xfId="0" applyFont="1" applyFill="1" applyBorder="1" applyAlignment="1">
      <alignment vertical="center"/>
    </xf>
    <xf numFmtId="164" fontId="47" fillId="19" borderId="30" xfId="0" applyNumberFormat="1" applyFont="1" applyFill="1" applyBorder="1" applyAlignment="1">
      <alignment horizontal="center" vertical="center"/>
    </xf>
    <xf numFmtId="0" fontId="47" fillId="38" borderId="28" xfId="0" applyFont="1" applyFill="1" applyBorder="1" applyAlignment="1">
      <alignment vertical="center"/>
    </xf>
    <xf numFmtId="0" fontId="59" fillId="14" borderId="0" xfId="0" applyFont="1" applyFill="1"/>
    <xf numFmtId="0" fontId="75" fillId="15" borderId="38" xfId="0" applyFont="1" applyFill="1" applyBorder="1" applyAlignment="1">
      <alignment horizontal="center" vertical="center"/>
    </xf>
    <xf numFmtId="0" fontId="75" fillId="15" borderId="23" xfId="0" applyFont="1" applyFill="1" applyBorder="1" applyAlignment="1">
      <alignment vertical="center"/>
    </xf>
    <xf numFmtId="0" fontId="76" fillId="15" borderId="23" xfId="0" applyFont="1" applyFill="1" applyBorder="1" applyAlignment="1">
      <alignment horizontal="center" vertical="center"/>
    </xf>
    <xf numFmtId="0" fontId="59" fillId="0" borderId="31" xfId="0" applyFont="1" applyBorder="1" applyAlignment="1">
      <alignment horizontal="left" vertical="center"/>
    </xf>
    <xf numFmtId="0" fontId="48" fillId="16" borderId="31" xfId="0" applyFont="1" applyFill="1" applyBorder="1" applyAlignment="1">
      <alignment horizontal="left" vertical="center"/>
    </xf>
    <xf numFmtId="0" fontId="75" fillId="15" borderId="41" xfId="0" applyFont="1" applyFill="1" applyBorder="1" applyAlignment="1">
      <alignment vertical="center"/>
    </xf>
    <xf numFmtId="4" fontId="49" fillId="3" borderId="42" xfId="0" applyNumberFormat="1" applyFont="1" applyFill="1" applyBorder="1" applyAlignment="1">
      <alignment horizontal="center" vertical="center"/>
    </xf>
    <xf numFmtId="4" fontId="50" fillId="19" borderId="42" xfId="0" applyNumberFormat="1" applyFont="1" applyFill="1" applyBorder="1" applyAlignment="1">
      <alignment horizontal="center" vertical="center"/>
    </xf>
    <xf numFmtId="0" fontId="77" fillId="16" borderId="37" xfId="0" applyFont="1" applyFill="1" applyBorder="1" applyAlignment="1">
      <alignment horizontal="left" vertical="center"/>
    </xf>
    <xf numFmtId="0" fontId="49" fillId="14" borderId="30" xfId="0" applyFont="1" applyFill="1" applyBorder="1"/>
    <xf numFmtId="0" fontId="49" fillId="14" borderId="31" xfId="0" applyFont="1" applyFill="1" applyBorder="1"/>
    <xf numFmtId="0" fontId="49" fillId="14" borderId="31" xfId="0" applyFont="1" applyFill="1" applyBorder="1" applyAlignment="1">
      <alignment horizontal="center"/>
    </xf>
    <xf numFmtId="0" fontId="50" fillId="19" borderId="30" xfId="0" applyFont="1" applyFill="1" applyBorder="1" applyAlignment="1">
      <alignment horizontal="center" vertical="center"/>
    </xf>
    <xf numFmtId="0" fontId="77" fillId="14" borderId="23" xfId="0" applyFont="1" applyFill="1" applyBorder="1" applyAlignment="1">
      <alignment horizontal="left" vertical="center"/>
    </xf>
    <xf numFmtId="0" fontId="77" fillId="16" borderId="30" xfId="0" applyFont="1" applyFill="1" applyBorder="1" applyAlignment="1">
      <alignment horizontal="left" vertical="center"/>
    </xf>
    <xf numFmtId="0" fontId="49" fillId="14" borderId="27" xfId="0" applyFont="1" applyFill="1" applyBorder="1" applyAlignment="1">
      <alignment vertical="center"/>
    </xf>
    <xf numFmtId="0" fontId="59" fillId="14" borderId="30" xfId="0" applyFont="1" applyFill="1" applyBorder="1" applyAlignment="1">
      <alignment horizontal="right"/>
    </xf>
    <xf numFmtId="4" fontId="49" fillId="14" borderId="30" xfId="0" applyNumberFormat="1" applyFont="1" applyFill="1" applyBorder="1"/>
    <xf numFmtId="0" fontId="59" fillId="0" borderId="30" xfId="0" applyFont="1" applyBorder="1" applyAlignment="1">
      <alignment horizontal="left" vertical="center" wrapText="1"/>
    </xf>
    <xf numFmtId="0" fontId="59" fillId="14" borderId="23" xfId="0" applyFont="1" applyFill="1" applyBorder="1" applyAlignment="1">
      <alignment vertical="center"/>
    </xf>
    <xf numFmtId="0" fontId="59" fillId="14" borderId="38" xfId="0" applyFont="1" applyFill="1" applyBorder="1" applyAlignment="1">
      <alignment horizontal="right" vertical="center"/>
    </xf>
    <xf numFmtId="0" fontId="59" fillId="14" borderId="40" xfId="0" applyFont="1" applyFill="1" applyBorder="1" applyAlignment="1">
      <alignment horizontal="right" vertical="center"/>
    </xf>
    <xf numFmtId="0" fontId="48" fillId="14" borderId="30" xfId="0" applyFont="1" applyFill="1" applyBorder="1" applyAlignment="1">
      <alignment horizontal="right" vertical="center" wrapText="1"/>
    </xf>
    <xf numFmtId="0" fontId="48" fillId="14" borderId="30" xfId="0" applyFont="1" applyFill="1" applyBorder="1" applyAlignment="1">
      <alignment horizontal="right" vertical="center"/>
    </xf>
    <xf numFmtId="0" fontId="61" fillId="14" borderId="41" xfId="0" applyFont="1" applyFill="1" applyBorder="1" applyAlignment="1">
      <alignment vertical="center"/>
    </xf>
    <xf numFmtId="0" fontId="49" fillId="14" borderId="41" xfId="0" applyFont="1" applyFill="1" applyBorder="1"/>
    <xf numFmtId="2" fontId="59" fillId="38" borderId="6" xfId="0" applyNumberFormat="1" applyFont="1" applyFill="1" applyBorder="1" applyAlignment="1">
      <alignment horizontal="center" vertical="center"/>
    </xf>
    <xf numFmtId="0" fontId="59" fillId="14" borderId="23" xfId="0" applyFont="1" applyFill="1" applyBorder="1" applyAlignment="1">
      <alignment horizontal="center" vertical="center"/>
    </xf>
    <xf numFmtId="2" fontId="59" fillId="38" borderId="43" xfId="0" applyNumberFormat="1" applyFont="1" applyFill="1" applyBorder="1" applyAlignment="1">
      <alignment horizontal="center" vertical="center"/>
    </xf>
    <xf numFmtId="0" fontId="49" fillId="15" borderId="27" xfId="0" applyFont="1" applyFill="1" applyBorder="1"/>
    <xf numFmtId="0" fontId="75" fillId="15" borderId="27" xfId="0" applyFont="1" applyFill="1" applyBorder="1" applyAlignment="1">
      <alignment vertical="center"/>
    </xf>
    <xf numFmtId="0" fontId="76" fillId="15" borderId="27" xfId="0" applyFont="1" applyFill="1" applyBorder="1" applyAlignment="1">
      <alignment horizontal="right" vertical="center"/>
    </xf>
    <xf numFmtId="0" fontId="76" fillId="15" borderId="27" xfId="0" applyFont="1" applyFill="1" applyBorder="1" applyAlignment="1">
      <alignment vertical="center"/>
    </xf>
    <xf numFmtId="2" fontId="49" fillId="19" borderId="30" xfId="0" applyNumberFormat="1" applyFont="1" applyFill="1" applyBorder="1" applyAlignment="1">
      <alignment horizontal="center" vertical="center"/>
    </xf>
    <xf numFmtId="0" fontId="61" fillId="16" borderId="30" xfId="0" applyFont="1" applyFill="1" applyBorder="1" applyAlignment="1">
      <alignment horizontal="right" vertical="center"/>
    </xf>
    <xf numFmtId="2" fontId="49" fillId="4" borderId="30" xfId="0" applyNumberFormat="1" applyFont="1" applyFill="1" applyBorder="1" applyAlignment="1">
      <alignment horizontal="center" vertical="center"/>
    </xf>
    <xf numFmtId="3" fontId="49" fillId="4" borderId="30" xfId="0" applyNumberFormat="1" applyFont="1" applyFill="1" applyBorder="1" applyAlignment="1">
      <alignment horizontal="center" vertical="center"/>
    </xf>
    <xf numFmtId="0" fontId="61" fillId="16" borderId="37" xfId="0" applyFont="1" applyFill="1" applyBorder="1" applyAlignment="1">
      <alignment vertical="center"/>
    </xf>
    <xf numFmtId="0" fontId="49" fillId="14" borderId="31" xfId="0" applyFont="1" applyFill="1" applyBorder="1" applyAlignment="1">
      <alignment vertical="center"/>
    </xf>
    <xf numFmtId="0" fontId="61" fillId="16" borderId="39" xfId="0" applyFont="1" applyFill="1" applyBorder="1" applyAlignment="1">
      <alignment vertical="center"/>
    </xf>
    <xf numFmtId="0" fontId="61" fillId="16" borderId="39" xfId="0" applyFont="1" applyFill="1" applyBorder="1" applyAlignment="1">
      <alignment horizontal="right" vertical="center"/>
    </xf>
    <xf numFmtId="0" fontId="61" fillId="16" borderId="34" xfId="0" applyFont="1" applyFill="1" applyBorder="1" applyAlignment="1">
      <alignment vertical="center"/>
    </xf>
    <xf numFmtId="0" fontId="61" fillId="16" borderId="34" xfId="0" applyFont="1" applyFill="1" applyBorder="1" applyAlignment="1">
      <alignment horizontal="right" vertical="center"/>
    </xf>
    <xf numFmtId="4" fontId="43" fillId="19" borderId="30" xfId="0" applyNumberFormat="1" applyFont="1" applyFill="1" applyBorder="1" applyAlignment="1">
      <alignment horizontal="center" vertical="center"/>
    </xf>
    <xf numFmtId="4" fontId="68" fillId="19" borderId="30" xfId="0" applyNumberFormat="1" applyFont="1" applyFill="1" applyBorder="1" applyAlignment="1">
      <alignment horizontal="center" vertical="center"/>
    </xf>
    <xf numFmtId="0" fontId="75" fillId="14" borderId="0" xfId="0" applyFont="1" applyFill="1" applyAlignment="1">
      <alignment vertical="center"/>
    </xf>
    <xf numFmtId="0" fontId="49" fillId="14" borderId="23" xfId="0" applyFont="1" applyFill="1" applyBorder="1" applyAlignment="1">
      <alignment horizontal="right" vertical="center"/>
    </xf>
    <xf numFmtId="0" fontId="47" fillId="14" borderId="23" xfId="0" applyFont="1" applyFill="1" applyBorder="1"/>
    <xf numFmtId="0" fontId="42" fillId="14" borderId="23" xfId="0" applyFont="1" applyFill="1" applyBorder="1" applyAlignment="1">
      <alignment horizontal="right"/>
    </xf>
    <xf numFmtId="0" fontId="75" fillId="14" borderId="23" xfId="0" applyFont="1" applyFill="1" applyBorder="1" applyAlignment="1">
      <alignment vertical="center"/>
    </xf>
    <xf numFmtId="0" fontId="43" fillId="14" borderId="23" xfId="0" applyFont="1" applyFill="1" applyBorder="1"/>
    <xf numFmtId="4" fontId="86" fillId="19" borderId="30" xfId="0" applyNumberFormat="1" applyFont="1" applyFill="1" applyBorder="1" applyAlignment="1">
      <alignment horizontal="center" vertical="center"/>
    </xf>
    <xf numFmtId="4" fontId="67" fillId="0" borderId="30" xfId="0" applyNumberFormat="1" applyFont="1" applyBorder="1" applyAlignment="1">
      <alignment horizontal="center" vertical="center"/>
    </xf>
    <xf numFmtId="0" fontId="47" fillId="14" borderId="23" xfId="0" applyFont="1" applyFill="1" applyBorder="1" applyAlignment="1">
      <alignment vertical="center"/>
    </xf>
    <xf numFmtId="2" fontId="47" fillId="0" borderId="23" xfId="0" applyNumberFormat="1" applyFont="1" applyBorder="1" applyAlignment="1">
      <alignment horizontal="center" vertical="center"/>
    </xf>
    <xf numFmtId="0" fontId="47" fillId="14" borderId="31" xfId="0" applyFont="1" applyFill="1" applyBorder="1" applyAlignment="1">
      <alignment vertical="center"/>
    </xf>
    <xf numFmtId="2" fontId="43" fillId="13" borderId="29" xfId="0" applyNumberFormat="1" applyFont="1" applyFill="1" applyBorder="1" applyAlignment="1">
      <alignment horizontal="center" vertical="center"/>
    </xf>
    <xf numFmtId="0" fontId="84" fillId="16" borderId="29" xfId="0" applyFont="1" applyFill="1" applyBorder="1" applyAlignment="1">
      <alignment horizontal="right" vertical="center"/>
    </xf>
    <xf numFmtId="2" fontId="47" fillId="4" borderId="30" xfId="0" applyNumberFormat="1" applyFont="1" applyFill="1" applyBorder="1" applyAlignment="1">
      <alignment horizontal="center" vertical="center"/>
    </xf>
    <xf numFmtId="164" fontId="47" fillId="4" borderId="30" xfId="0" applyNumberFormat="1" applyFont="1" applyFill="1" applyBorder="1" applyAlignment="1">
      <alignment horizontal="center" vertical="center"/>
    </xf>
    <xf numFmtId="0" fontId="80" fillId="14" borderId="0" xfId="0" applyFont="1" applyFill="1" applyAlignment="1">
      <alignment vertical="center"/>
    </xf>
    <xf numFmtId="0" fontId="47" fillId="2" borderId="30" xfId="0" applyFont="1" applyFill="1" applyBorder="1" applyAlignment="1" applyProtection="1">
      <alignment horizontal="center" vertical="center"/>
      <protection locked="0"/>
    </xf>
    <xf numFmtId="0" fontId="81" fillId="16" borderId="37" xfId="0" applyFont="1" applyFill="1" applyBorder="1" applyAlignment="1">
      <alignment horizontal="right" vertical="center"/>
    </xf>
    <xf numFmtId="0" fontId="85" fillId="16" borderId="35" xfId="0" applyFont="1" applyFill="1" applyBorder="1" applyAlignment="1">
      <alignment horizontal="right" vertical="center"/>
    </xf>
    <xf numFmtId="0" fontId="47" fillId="16" borderId="36" xfId="0" applyFont="1" applyFill="1" applyBorder="1" applyAlignment="1">
      <alignment vertical="center"/>
    </xf>
    <xf numFmtId="3" fontId="47" fillId="3" borderId="30" xfId="0" applyNumberFormat="1" applyFont="1" applyFill="1" applyBorder="1" applyAlignment="1">
      <alignment horizontal="center" vertical="center"/>
    </xf>
    <xf numFmtId="0" fontId="47" fillId="14" borderId="37" xfId="0" applyFont="1" applyFill="1" applyBorder="1"/>
    <xf numFmtId="0" fontId="43" fillId="0" borderId="30" xfId="0" applyFont="1" applyBorder="1"/>
    <xf numFmtId="0" fontId="47" fillId="19" borderId="30" xfId="0" applyFont="1" applyFill="1" applyBorder="1" applyAlignment="1">
      <alignment horizontal="center" vertical="center"/>
    </xf>
    <xf numFmtId="0" fontId="47" fillId="3" borderId="30" xfId="0" applyFont="1" applyFill="1" applyBorder="1" applyAlignment="1" applyProtection="1">
      <alignment horizontal="center" vertical="center"/>
      <protection locked="0"/>
    </xf>
    <xf numFmtId="0" fontId="83" fillId="14" borderId="0" xfId="0" applyFont="1" applyFill="1" applyAlignment="1">
      <alignment vertical="center"/>
    </xf>
    <xf numFmtId="4" fontId="49" fillId="13" borderId="30" xfId="0" applyNumberFormat="1" applyFont="1" applyFill="1" applyBorder="1" applyAlignment="1">
      <alignment horizontal="center" vertical="center"/>
    </xf>
    <xf numFmtId="0" fontId="49" fillId="25" borderId="23" xfId="0" applyFont="1" applyFill="1" applyBorder="1" applyAlignment="1">
      <alignment vertical="center"/>
    </xf>
    <xf numFmtId="0" fontId="49" fillId="12" borderId="23" xfId="0" applyFont="1" applyFill="1" applyBorder="1" applyAlignment="1">
      <alignment vertical="center"/>
    </xf>
    <xf numFmtId="0" fontId="141" fillId="14" borderId="0" xfId="0" applyFont="1" applyFill="1" applyAlignment="1">
      <alignment horizontal="left" vertical="center"/>
    </xf>
    <xf numFmtId="0" fontId="55" fillId="14" borderId="0" xfId="0" applyFont="1" applyFill="1" applyAlignment="1">
      <alignment vertical="center"/>
    </xf>
    <xf numFmtId="0" fontId="83" fillId="14" borderId="0" xfId="0" applyFont="1" applyFill="1" applyAlignment="1">
      <alignment horizontal="left" vertical="center"/>
    </xf>
    <xf numFmtId="0" fontId="74" fillId="15" borderId="37" xfId="0" applyFont="1" applyFill="1" applyBorder="1" applyAlignment="1">
      <alignment horizontal="left" vertical="center"/>
    </xf>
    <xf numFmtId="0" fontId="75" fillId="15" borderId="35" xfId="0" applyFont="1" applyFill="1" applyBorder="1" applyAlignment="1">
      <alignment vertical="center"/>
    </xf>
    <xf numFmtId="0" fontId="49" fillId="15" borderId="36" xfId="0" applyFont="1" applyFill="1" applyBorder="1"/>
    <xf numFmtId="0" fontId="49" fillId="0" borderId="30" xfId="0" applyFont="1" applyBorder="1" applyAlignment="1">
      <alignment horizontal="right" vertical="center"/>
    </xf>
    <xf numFmtId="0" fontId="61" fillId="16" borderId="36" xfId="0" applyFont="1" applyFill="1" applyBorder="1" applyAlignment="1">
      <alignment vertical="center"/>
    </xf>
    <xf numFmtId="0" fontId="75" fillId="15" borderId="36" xfId="0" applyFont="1" applyFill="1" applyBorder="1" applyAlignment="1">
      <alignment vertical="center"/>
    </xf>
    <xf numFmtId="0" fontId="80" fillId="16" borderId="31" xfId="0" applyFont="1" applyFill="1" applyBorder="1" applyAlignment="1">
      <alignment vertical="center"/>
    </xf>
    <xf numFmtId="0" fontId="85" fillId="16" borderId="29" xfId="0" applyFont="1" applyFill="1" applyBorder="1" applyAlignment="1">
      <alignment horizontal="right" vertical="center"/>
    </xf>
    <xf numFmtId="0" fontId="93" fillId="14" borderId="0" xfId="0" applyFont="1" applyFill="1" applyAlignment="1">
      <alignment vertical="center"/>
    </xf>
    <xf numFmtId="0" fontId="105" fillId="14" borderId="0" xfId="0" applyFont="1" applyFill="1" applyAlignment="1">
      <alignment vertical="center"/>
    </xf>
    <xf numFmtId="0" fontId="97" fillId="16" borderId="29" xfId="0" applyFont="1" applyFill="1" applyBorder="1" applyAlignment="1">
      <alignment horizontal="left" vertical="center"/>
    </xf>
    <xf numFmtId="0" fontId="61" fillId="16" borderId="31" xfId="0" applyFont="1" applyFill="1" applyBorder="1" applyAlignment="1">
      <alignment horizontal="left" vertical="center"/>
    </xf>
    <xf numFmtId="0" fontId="61" fillId="16" borderId="29" xfId="0" applyFont="1" applyFill="1" applyBorder="1" applyAlignment="1">
      <alignment horizontal="left" vertical="center"/>
    </xf>
    <xf numFmtId="0" fontId="27" fillId="16" borderId="30" xfId="0" applyFont="1" applyFill="1" applyBorder="1" applyAlignment="1">
      <alignment vertical="center"/>
    </xf>
    <xf numFmtId="0" fontId="105" fillId="16" borderId="31" xfId="0" applyFont="1" applyFill="1" applyBorder="1" applyAlignment="1">
      <alignment vertical="center"/>
    </xf>
    <xf numFmtId="0" fontId="94" fillId="14" borderId="0" xfId="0" applyFont="1" applyFill="1" applyAlignment="1">
      <alignment vertical="center"/>
    </xf>
    <xf numFmtId="0" fontId="94" fillId="14" borderId="0" xfId="0" applyFont="1" applyFill="1" applyAlignment="1">
      <alignment horizontal="right" vertical="center"/>
    </xf>
    <xf numFmtId="0" fontId="44" fillId="14" borderId="0" xfId="0" applyFont="1" applyFill="1" applyAlignment="1">
      <alignment horizontal="right" vertical="center"/>
    </xf>
    <xf numFmtId="0" fontId="95" fillId="14" borderId="0" xfId="0" applyFont="1" applyFill="1" applyAlignment="1">
      <alignment vertical="center"/>
    </xf>
    <xf numFmtId="0" fontId="38" fillId="14" borderId="23" xfId="0" applyFont="1" applyFill="1" applyBorder="1" applyAlignment="1">
      <alignment vertical="center"/>
    </xf>
    <xf numFmtId="0" fontId="27" fillId="0" borderId="23" xfId="0" applyFont="1" applyBorder="1" applyAlignment="1">
      <alignment vertical="center"/>
    </xf>
    <xf numFmtId="0" fontId="61" fillId="16" borderId="40" xfId="0" applyFont="1" applyFill="1" applyBorder="1" applyAlignment="1">
      <alignment horizontal="left" vertical="center"/>
    </xf>
    <xf numFmtId="0" fontId="40" fillId="14" borderId="0" xfId="0" applyFont="1" applyFill="1" applyAlignment="1">
      <alignment vertical="center"/>
    </xf>
    <xf numFmtId="0" fontId="27" fillId="14" borderId="23" xfId="0" applyFont="1" applyFill="1" applyBorder="1" applyAlignment="1">
      <alignment vertical="center"/>
    </xf>
    <xf numFmtId="0" fontId="27" fillId="14" borderId="0" xfId="0" applyFont="1" applyFill="1" applyAlignment="1">
      <alignment vertical="center"/>
    </xf>
    <xf numFmtId="0" fontId="27" fillId="14" borderId="0" xfId="0" applyFont="1" applyFill="1" applyAlignment="1">
      <alignment horizontal="center" vertical="center"/>
    </xf>
    <xf numFmtId="0" fontId="40" fillId="0" borderId="29" xfId="0" applyFont="1" applyBorder="1" applyAlignment="1">
      <alignment vertical="center"/>
    </xf>
    <xf numFmtId="164" fontId="49" fillId="38" borderId="30" xfId="0" applyNumberFormat="1" applyFont="1" applyFill="1" applyBorder="1" applyAlignment="1" applyProtection="1">
      <alignment horizontal="center" vertical="center"/>
      <protection locked="0"/>
    </xf>
    <xf numFmtId="0" fontId="38" fillId="40" borderId="5" xfId="0" applyFont="1" applyFill="1" applyBorder="1" applyAlignment="1">
      <alignment vertical="center"/>
    </xf>
    <xf numFmtId="0" fontId="109" fillId="14" borderId="0" xfId="0" applyFont="1" applyFill="1"/>
    <xf numFmtId="0" fontId="41" fillId="16" borderId="29" xfId="0" applyFont="1" applyFill="1" applyBorder="1" applyAlignment="1">
      <alignment horizontal="center" vertical="center"/>
    </xf>
    <xf numFmtId="0" fontId="48" fillId="16" borderId="31" xfId="0" applyFont="1" applyFill="1" applyBorder="1" applyAlignment="1">
      <alignment horizontal="center" vertical="center"/>
    </xf>
    <xf numFmtId="0" fontId="47" fillId="0" borderId="31" xfId="0" applyFont="1" applyBorder="1" applyAlignment="1">
      <alignment horizontal="center" vertical="center"/>
    </xf>
    <xf numFmtId="4" fontId="59" fillId="0" borderId="30" xfId="0" applyNumberFormat="1" applyFont="1" applyBorder="1" applyAlignment="1">
      <alignment horizontal="center" vertical="center"/>
    </xf>
    <xf numFmtId="0" fontId="47" fillId="16" borderId="30" xfId="0" applyFont="1" applyFill="1" applyBorder="1" applyAlignment="1">
      <alignment vertical="center"/>
    </xf>
    <xf numFmtId="4" fontId="41"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165" fontId="47" fillId="16" borderId="30" xfId="0" applyNumberFormat="1" applyFont="1" applyFill="1" applyBorder="1" applyAlignment="1">
      <alignment horizontal="center" vertical="center"/>
    </xf>
    <xf numFmtId="0" fontId="59" fillId="0" borderId="29" xfId="0" applyFont="1" applyBorder="1" applyAlignment="1">
      <alignment vertical="center"/>
    </xf>
    <xf numFmtId="0" fontId="47" fillId="16" borderId="31" xfId="0" applyFont="1" applyFill="1" applyBorder="1" applyAlignment="1">
      <alignment vertical="center"/>
    </xf>
    <xf numFmtId="0" fontId="41" fillId="16" borderId="29" xfId="0" applyFont="1" applyFill="1" applyBorder="1" applyAlignment="1">
      <alignment horizontal="left" vertical="center"/>
    </xf>
    <xf numFmtId="0" fontId="48" fillId="16" borderId="29" xfId="0" applyFont="1" applyFill="1" applyBorder="1" applyAlignment="1">
      <alignment horizontal="left" vertical="center"/>
    </xf>
    <xf numFmtId="0" fontId="61" fillId="16" borderId="28" xfId="0" applyFont="1" applyFill="1" applyBorder="1" applyAlignment="1">
      <alignment horizontal="center" vertical="center"/>
    </xf>
    <xf numFmtId="4" fontId="49" fillId="16" borderId="30" xfId="0" applyNumberFormat="1" applyFont="1" applyFill="1" applyBorder="1" applyAlignment="1">
      <alignment horizontal="center" vertical="center"/>
    </xf>
    <xf numFmtId="2" fontId="49" fillId="16" borderId="30" xfId="0" applyNumberFormat="1" applyFont="1" applyFill="1" applyBorder="1" applyAlignment="1">
      <alignment horizontal="center" vertical="center"/>
    </xf>
    <xf numFmtId="0" fontId="49" fillId="16" borderId="30" xfId="0" applyFont="1" applyFill="1" applyBorder="1" applyAlignment="1">
      <alignment horizontal="center" vertical="center"/>
    </xf>
    <xf numFmtId="0" fontId="41" fillId="16" borderId="30" xfId="0" applyFont="1" applyFill="1" applyBorder="1" applyAlignment="1">
      <alignment horizontal="left" vertical="center"/>
    </xf>
    <xf numFmtId="0" fontId="48" fillId="16" borderId="30" xfId="0" applyFont="1" applyFill="1" applyBorder="1" applyAlignment="1">
      <alignment horizontal="left" vertical="center"/>
    </xf>
    <xf numFmtId="0" fontId="0" fillId="14" borderId="23" xfId="0" applyFill="1" applyBorder="1"/>
    <xf numFmtId="0" fontId="49" fillId="0" borderId="34" xfId="0" applyFont="1" applyBorder="1" applyAlignment="1">
      <alignment vertical="center"/>
    </xf>
    <xf numFmtId="0" fontId="59" fillId="0" borderId="23" xfId="0" applyFont="1" applyBorder="1" applyAlignment="1">
      <alignment vertical="center"/>
    </xf>
    <xf numFmtId="0" fontId="49" fillId="0" borderId="34" xfId="0" applyFont="1" applyBorder="1" applyAlignment="1">
      <alignment horizontal="center" vertical="center"/>
    </xf>
    <xf numFmtId="0" fontId="49" fillId="14" borderId="44" xfId="0" applyFont="1" applyFill="1" applyBorder="1" applyAlignment="1">
      <alignment vertical="center"/>
    </xf>
    <xf numFmtId="0" fontId="26" fillId="0" borderId="0" xfId="0" applyFont="1" applyAlignment="1">
      <alignment horizontal="center" vertical="center"/>
    </xf>
    <xf numFmtId="0" fontId="26" fillId="14" borderId="0" xfId="0" applyFont="1" applyFill="1" applyAlignment="1">
      <alignment horizontal="center" vertical="center"/>
    </xf>
    <xf numFmtId="0" fontId="8" fillId="0" borderId="0" xfId="0" applyFont="1" applyAlignment="1">
      <alignment horizontal="center"/>
    </xf>
    <xf numFmtId="0" fontId="8" fillId="0" borderId="0" xfId="0" applyFont="1" applyAlignment="1">
      <alignment horizontal="center" vertical="center"/>
    </xf>
    <xf numFmtId="168" fontId="8" fillId="0" borderId="0" xfId="0" applyNumberFormat="1" applyFont="1" applyAlignment="1">
      <alignment horizontal="center" vertical="center"/>
    </xf>
    <xf numFmtId="0" fontId="27" fillId="0" borderId="0" xfId="0" applyFont="1"/>
    <xf numFmtId="0" fontId="43" fillId="0" borderId="0" xfId="0" applyFont="1" applyAlignment="1">
      <alignment horizontal="right" vertical="center"/>
    </xf>
    <xf numFmtId="0" fontId="41" fillId="14" borderId="23" xfId="0" applyFont="1" applyFill="1" applyBorder="1" applyAlignment="1">
      <alignment vertical="center"/>
    </xf>
    <xf numFmtId="0" fontId="61" fillId="29" borderId="30" xfId="0" applyFont="1" applyFill="1" applyBorder="1" applyAlignment="1">
      <alignment horizontal="center" vertical="center"/>
    </xf>
    <xf numFmtId="0" fontId="61" fillId="41" borderId="30" xfId="0" applyFont="1" applyFill="1" applyBorder="1" applyAlignment="1">
      <alignment horizontal="center" vertical="center" wrapText="1"/>
    </xf>
    <xf numFmtId="0" fontId="8" fillId="0" borderId="23" xfId="0" applyFont="1" applyBorder="1" applyAlignment="1">
      <alignment vertical="center"/>
    </xf>
    <xf numFmtId="166" fontId="47" fillId="0" borderId="30" xfId="0" applyNumberFormat="1" applyFont="1" applyBorder="1" applyAlignment="1">
      <alignment horizontal="center" vertical="center"/>
    </xf>
    <xf numFmtId="0" fontId="43" fillId="0" borderId="39" xfId="0" applyFont="1" applyBorder="1" applyAlignment="1">
      <alignment horizontal="center" vertical="center"/>
    </xf>
    <xf numFmtId="1" fontId="43" fillId="0" borderId="30" xfId="0" applyNumberFormat="1" applyFont="1" applyBorder="1" applyAlignment="1">
      <alignment horizontal="center" vertical="center"/>
    </xf>
    <xf numFmtId="9" fontId="43" fillId="0" borderId="30" xfId="0" applyNumberFormat="1" applyFont="1" applyBorder="1" applyAlignment="1">
      <alignment horizontal="center" vertical="center"/>
    </xf>
    <xf numFmtId="0" fontId="144" fillId="0" borderId="30" xfId="0" applyFont="1" applyBorder="1" applyAlignment="1">
      <alignment horizontal="center" vertical="center"/>
    </xf>
    <xf numFmtId="164" fontId="47" fillId="14" borderId="30" xfId="0" applyNumberFormat="1" applyFont="1" applyFill="1" applyBorder="1" applyAlignment="1">
      <alignment horizontal="center" vertical="center"/>
    </xf>
    <xf numFmtId="2" fontId="47" fillId="14" borderId="30" xfId="0" applyNumberFormat="1" applyFont="1" applyFill="1" applyBorder="1" applyAlignment="1">
      <alignment horizontal="center" vertical="center"/>
    </xf>
    <xf numFmtId="4" fontId="47" fillId="14" borderId="30" xfId="0" applyNumberFormat="1" applyFont="1" applyFill="1" applyBorder="1" applyAlignment="1">
      <alignment horizontal="center" vertical="center"/>
    </xf>
    <xf numFmtId="0" fontId="47" fillId="14" borderId="30" xfId="0" applyFont="1" applyFill="1" applyBorder="1" applyAlignment="1">
      <alignment horizontal="center" vertical="center"/>
    </xf>
    <xf numFmtId="2" fontId="47" fillId="0" borderId="30" xfId="0" applyNumberFormat="1" applyFont="1" applyBorder="1" applyAlignment="1">
      <alignment horizontal="center" vertical="center"/>
    </xf>
    <xf numFmtId="2" fontId="41"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3" fillId="14" borderId="39" xfId="0" applyFont="1" applyFill="1" applyBorder="1" applyAlignment="1">
      <alignment vertical="center"/>
    </xf>
    <xf numFmtId="0" fontId="43" fillId="14" borderId="44" xfId="0" applyFont="1" applyFill="1" applyBorder="1" applyAlignment="1">
      <alignment vertical="center"/>
    </xf>
    <xf numFmtId="0" fontId="43" fillId="0" borderId="44" xfId="0" applyFont="1" applyBorder="1" applyAlignment="1">
      <alignment vertical="center"/>
    </xf>
    <xf numFmtId="0" fontId="96" fillId="14" borderId="23" xfId="0" applyFont="1" applyFill="1" applyBorder="1" applyAlignment="1">
      <alignment vertical="center"/>
    </xf>
    <xf numFmtId="3" fontId="63" fillId="0" borderId="39" xfId="0" applyNumberFormat="1" applyFont="1" applyBorder="1" applyAlignment="1">
      <alignment horizontal="center" vertical="center"/>
    </xf>
    <xf numFmtId="0" fontId="119" fillId="0" borderId="34" xfId="0" applyFont="1" applyBorder="1" applyAlignment="1">
      <alignment vertical="center" wrapText="1"/>
    </xf>
    <xf numFmtId="1" fontId="96" fillId="2" borderId="30" xfId="0" applyNumberFormat="1" applyFont="1" applyFill="1" applyBorder="1" applyAlignment="1" applyProtection="1">
      <alignment horizontal="center" vertical="center" wrapText="1"/>
      <protection locked="0"/>
    </xf>
    <xf numFmtId="0" fontId="96" fillId="0" borderId="44" xfId="0" applyFont="1" applyBorder="1" applyAlignment="1">
      <alignment vertical="center"/>
    </xf>
    <xf numFmtId="174" fontId="119" fillId="0" borderId="30" xfId="0" applyNumberFormat="1" applyFont="1" applyBorder="1" applyAlignment="1">
      <alignment horizontal="center" vertical="center" wrapText="1"/>
    </xf>
    <xf numFmtId="9" fontId="119" fillId="2" borderId="30" xfId="0" applyNumberFormat="1" applyFont="1" applyFill="1" applyBorder="1" applyAlignment="1" applyProtection="1">
      <alignment horizontal="center" vertical="center" wrapText="1"/>
      <protection locked="0"/>
    </xf>
    <xf numFmtId="164" fontId="43" fillId="0" borderId="30" xfId="0" applyNumberFormat="1" applyFont="1" applyBorder="1" applyAlignment="1">
      <alignment horizontal="center" vertical="center"/>
    </xf>
    <xf numFmtId="3" fontId="43" fillId="0" borderId="44" xfId="0" applyNumberFormat="1" applyFont="1" applyBorder="1" applyAlignment="1">
      <alignment horizontal="center" vertical="center"/>
    </xf>
    <xf numFmtId="166" fontId="43" fillId="0" borderId="30" xfId="0" applyNumberFormat="1" applyFont="1" applyBorder="1" applyAlignment="1">
      <alignment horizontal="center" vertical="center"/>
    </xf>
    <xf numFmtId="0" fontId="119" fillId="0" borderId="30" xfId="0" applyFont="1" applyBorder="1" applyAlignment="1">
      <alignment vertical="center" wrapText="1"/>
    </xf>
    <xf numFmtId="174" fontId="119" fillId="0" borderId="34" xfId="0" applyNumberFormat="1" applyFont="1" applyBorder="1" applyAlignment="1">
      <alignment horizontal="center" vertical="center" wrapText="1"/>
    </xf>
    <xf numFmtId="0" fontId="43" fillId="14" borderId="28" xfId="0" applyFont="1" applyFill="1" applyBorder="1" applyAlignment="1">
      <alignment horizontal="center" vertical="center"/>
    </xf>
    <xf numFmtId="1" fontId="43" fillId="0" borderId="23" xfId="0" applyNumberFormat="1" applyFont="1" applyBorder="1" applyAlignment="1">
      <alignment horizontal="center" vertical="center"/>
    </xf>
    <xf numFmtId="1" fontId="43" fillId="0" borderId="45" xfId="0" applyNumberFormat="1" applyFont="1" applyBorder="1" applyAlignment="1">
      <alignment horizontal="center" vertical="center"/>
    </xf>
    <xf numFmtId="1" fontId="43" fillId="0" borderId="46" xfId="0" applyNumberFormat="1" applyFont="1" applyBorder="1" applyAlignment="1">
      <alignment horizontal="center" vertical="center"/>
    </xf>
    <xf numFmtId="1" fontId="43" fillId="0" borderId="47" xfId="0" applyNumberFormat="1" applyFont="1" applyBorder="1" applyAlignment="1">
      <alignment horizontal="center" vertical="center"/>
    </xf>
    <xf numFmtId="0" fontId="43" fillId="14" borderId="23" xfId="0" applyFont="1" applyFill="1" applyBorder="1" applyAlignment="1">
      <alignment vertical="top"/>
    </xf>
    <xf numFmtId="0" fontId="43" fillId="14" borderId="0" xfId="0" applyFont="1" applyFill="1" applyAlignment="1">
      <alignment vertical="top"/>
    </xf>
    <xf numFmtId="0" fontId="43" fillId="0" borderId="0" xfId="0" applyFont="1" applyAlignment="1">
      <alignment vertical="top"/>
    </xf>
    <xf numFmtId="0" fontId="63" fillId="29" borderId="30" xfId="0" applyFont="1" applyFill="1" applyBorder="1" applyAlignment="1">
      <alignment horizontal="left" vertical="center"/>
    </xf>
    <xf numFmtId="0" fontId="48" fillId="29" borderId="30" xfId="0" applyFont="1" applyFill="1" applyBorder="1" applyAlignment="1">
      <alignment horizontal="left" vertical="center"/>
    </xf>
    <xf numFmtId="0" fontId="48" fillId="29" borderId="30" xfId="0" applyFont="1" applyFill="1" applyBorder="1" applyAlignment="1">
      <alignment vertical="center"/>
    </xf>
    <xf numFmtId="1" fontId="121" fillId="0" borderId="30" xfId="0" applyNumberFormat="1" applyFont="1" applyBorder="1" applyAlignment="1" applyProtection="1">
      <alignment horizontal="center" vertical="center"/>
      <protection locked="0"/>
    </xf>
    <xf numFmtId="166" fontId="121" fillId="0" borderId="30" xfId="0" applyNumberFormat="1" applyFont="1" applyBorder="1" applyAlignment="1" applyProtection="1">
      <alignment horizontal="center" vertical="center"/>
      <protection locked="0"/>
    </xf>
    <xf numFmtId="3" fontId="121" fillId="0" borderId="29" xfId="0" applyNumberFormat="1" applyFont="1" applyBorder="1" applyAlignment="1">
      <alignment horizontal="center" vertical="center"/>
    </xf>
    <xf numFmtId="0" fontId="61" fillId="29" borderId="30" xfId="0" applyFont="1" applyFill="1" applyBorder="1" applyAlignment="1">
      <alignment vertical="center"/>
    </xf>
    <xf numFmtId="0" fontId="123" fillId="29" borderId="30" xfId="0" applyFont="1" applyFill="1" applyBorder="1" applyAlignment="1">
      <alignment vertical="center"/>
    </xf>
    <xf numFmtId="0" fontId="40" fillId="0" borderId="41" xfId="0" applyFont="1" applyBorder="1" applyAlignment="1">
      <alignment vertical="center"/>
    </xf>
    <xf numFmtId="0" fontId="50" fillId="14" borderId="44" xfId="0" applyFont="1" applyFill="1" applyBorder="1" applyAlignment="1">
      <alignment vertical="center"/>
    </xf>
    <xf numFmtId="0" fontId="49" fillId="14" borderId="44" xfId="0" applyFont="1" applyFill="1" applyBorder="1" applyAlignment="1">
      <alignment horizontal="center" vertical="center"/>
    </xf>
    <xf numFmtId="3" fontId="49" fillId="0" borderId="39" xfId="0" applyNumberFormat="1" applyFont="1" applyBorder="1" applyAlignment="1">
      <alignment horizontal="center" vertical="center"/>
    </xf>
    <xf numFmtId="164" fontId="49" fillId="0" borderId="39" xfId="0" applyNumberFormat="1" applyFont="1" applyBorder="1" applyAlignment="1">
      <alignment horizontal="center" vertical="center"/>
    </xf>
    <xf numFmtId="9" fontId="49" fillId="0" borderId="39" xfId="0" applyNumberFormat="1" applyFont="1" applyBorder="1" applyAlignment="1">
      <alignment horizontal="center" vertical="center"/>
    </xf>
    <xf numFmtId="166" fontId="49" fillId="0" borderId="34" xfId="0" applyNumberFormat="1" applyFont="1" applyBorder="1" applyAlignment="1">
      <alignment horizontal="center" vertical="center"/>
    </xf>
    <xf numFmtId="3" fontId="49" fillId="0" borderId="34" xfId="0" applyNumberFormat="1" applyFont="1" applyBorder="1" applyAlignment="1">
      <alignment horizontal="center" vertical="center"/>
    </xf>
    <xf numFmtId="165" fontId="129" fillId="0" borderId="30" xfId="0" applyNumberFormat="1" applyFont="1" applyBorder="1" applyAlignment="1">
      <alignment horizontal="center" vertical="center"/>
    </xf>
    <xf numFmtId="0" fontId="0" fillId="0" borderId="23" xfId="0" applyBorder="1" applyAlignment="1">
      <alignment vertical="center"/>
    </xf>
    <xf numFmtId="0" fontId="50" fillId="0" borderId="23" xfId="0" applyFont="1" applyBorder="1" applyAlignment="1">
      <alignment vertical="center"/>
    </xf>
    <xf numFmtId="0" fontId="129" fillId="14" borderId="44" xfId="0" applyFont="1" applyFill="1" applyBorder="1" applyAlignment="1">
      <alignment vertical="center"/>
    </xf>
    <xf numFmtId="0" fontId="129" fillId="14" borderId="44" xfId="0" applyFont="1" applyFill="1" applyBorder="1" applyAlignment="1">
      <alignment horizontal="center" vertical="center"/>
    </xf>
    <xf numFmtId="0" fontId="50" fillId="0" borderId="34" xfId="0" applyFont="1" applyBorder="1" applyAlignment="1">
      <alignment vertical="center"/>
    </xf>
    <xf numFmtId="0" fontId="129" fillId="0" borderId="30" xfId="0" applyFont="1" applyBorder="1" applyAlignment="1">
      <alignment horizontal="left" vertical="center"/>
    </xf>
    <xf numFmtId="0" fontId="130" fillId="0" borderId="30" xfId="0" applyFont="1" applyBorder="1" applyAlignment="1">
      <alignment horizontal="left" vertical="center"/>
    </xf>
    <xf numFmtId="0" fontId="38" fillId="14" borderId="44" xfId="0" applyFont="1" applyFill="1" applyBorder="1" applyAlignment="1">
      <alignment vertical="center"/>
    </xf>
    <xf numFmtId="0" fontId="39" fillId="14" borderId="44" xfId="0" applyFont="1" applyFill="1" applyBorder="1" applyAlignment="1">
      <alignment horizontal="center" vertical="center"/>
    </xf>
    <xf numFmtId="0" fontId="38" fillId="14" borderId="44" xfId="0" applyFont="1" applyFill="1" applyBorder="1" applyAlignment="1">
      <alignment horizontal="center" vertical="center"/>
    </xf>
    <xf numFmtId="3" fontId="38" fillId="14" borderId="44" xfId="0" applyNumberFormat="1" applyFont="1" applyFill="1" applyBorder="1" applyAlignment="1">
      <alignment horizontal="center" vertical="center"/>
    </xf>
    <xf numFmtId="0" fontId="40" fillId="0" borderId="30" xfId="0" applyFont="1" applyBorder="1" applyAlignment="1">
      <alignment horizontal="left" vertical="center"/>
    </xf>
    <xf numFmtId="0" fontId="38" fillId="0" borderId="30" xfId="0" applyFont="1" applyBorder="1" applyAlignment="1">
      <alignment horizontal="left" vertical="center"/>
    </xf>
    <xf numFmtId="0" fontId="0" fillId="39" borderId="0" xfId="0" applyFill="1" applyAlignment="1">
      <alignment vertical="center"/>
    </xf>
    <xf numFmtId="0" fontId="10" fillId="39" borderId="0" xfId="0" applyFont="1" applyFill="1" applyAlignment="1">
      <alignment vertical="center"/>
    </xf>
    <xf numFmtId="0" fontId="0" fillId="39" borderId="0" xfId="0" applyFill="1" applyAlignment="1">
      <alignment horizontal="center" vertical="center"/>
    </xf>
    <xf numFmtId="0" fontId="9" fillId="39" borderId="0" xfId="0" applyFont="1" applyFill="1" applyAlignment="1">
      <alignment vertical="center"/>
    </xf>
    <xf numFmtId="0" fontId="38" fillId="14" borderId="23" xfId="0" applyFont="1" applyFill="1" applyBorder="1" applyAlignment="1">
      <alignment horizontal="center" vertical="center"/>
    </xf>
    <xf numFmtId="1" fontId="38" fillId="14" borderId="44" xfId="0" applyNumberFormat="1" applyFont="1" applyFill="1" applyBorder="1" applyAlignment="1">
      <alignment horizontal="center" vertical="center"/>
    </xf>
    <xf numFmtId="0" fontId="40" fillId="0" borderId="30" xfId="0" applyFont="1" applyBorder="1" applyAlignment="1">
      <alignment horizontal="right" vertical="center"/>
    </xf>
    <xf numFmtId="0" fontId="128" fillId="14" borderId="0" xfId="0" applyFont="1" applyFill="1" applyAlignment="1">
      <alignment vertical="center"/>
    </xf>
    <xf numFmtId="0" fontId="10" fillId="14" borderId="0" xfId="0" applyFont="1" applyFill="1"/>
    <xf numFmtId="0" fontId="38" fillId="14" borderId="44" xfId="0" applyFont="1" applyFill="1" applyBorder="1"/>
    <xf numFmtId="164" fontId="43" fillId="0" borderId="23" xfId="0" applyNumberFormat="1" applyFont="1" applyBorder="1" applyAlignment="1">
      <alignment horizontal="center" vertical="center"/>
    </xf>
    <xf numFmtId="3" fontId="43" fillId="0" borderId="23" xfId="0" applyNumberFormat="1" applyFont="1" applyBorder="1" applyAlignment="1">
      <alignment horizontal="center" vertical="center"/>
    </xf>
    <xf numFmtId="3" fontId="43" fillId="0" borderId="0" xfId="0" applyNumberFormat="1" applyFont="1" applyAlignment="1">
      <alignment horizontal="center" vertical="center"/>
    </xf>
    <xf numFmtId="164" fontId="49" fillId="0" borderId="30" xfId="0" applyNumberFormat="1" applyFont="1" applyBorder="1" applyAlignment="1" applyProtection="1">
      <alignment horizontal="center" vertical="center"/>
      <protection locked="0"/>
    </xf>
    <xf numFmtId="164" fontId="50" fillId="0" borderId="30" xfId="0" applyNumberFormat="1" applyFont="1" applyBorder="1" applyAlignment="1" applyProtection="1">
      <alignment horizontal="center" vertical="center"/>
      <protection locked="0"/>
    </xf>
    <xf numFmtId="0" fontId="38" fillId="43" borderId="5" xfId="0" applyFont="1" applyFill="1" applyBorder="1" applyAlignment="1">
      <alignment vertical="center"/>
    </xf>
    <xf numFmtId="9" fontId="47" fillId="0" borderId="28" xfId="0" applyNumberFormat="1" applyFont="1" applyBorder="1" applyAlignment="1">
      <alignment horizontal="center" vertical="center"/>
    </xf>
    <xf numFmtId="0" fontId="47" fillId="14" borderId="50" xfId="0" applyFont="1" applyFill="1" applyBorder="1" applyAlignment="1">
      <alignment vertical="center"/>
    </xf>
    <xf numFmtId="164" fontId="49" fillId="44" borderId="30" xfId="0" applyNumberFormat="1" applyFont="1" applyFill="1" applyBorder="1" applyAlignment="1" applyProtection="1">
      <alignment horizontal="center" vertical="center"/>
      <protection locked="0"/>
    </xf>
    <xf numFmtId="0" fontId="59" fillId="0" borderId="34" xfId="0" applyFont="1" applyBorder="1" applyAlignment="1">
      <alignment horizontal="right" vertical="center"/>
    </xf>
    <xf numFmtId="2" fontId="49" fillId="19" borderId="34" xfId="0" applyNumberFormat="1" applyFont="1" applyFill="1" applyBorder="1" applyAlignment="1">
      <alignment horizontal="center" vertical="center"/>
    </xf>
    <xf numFmtId="0" fontId="49" fillId="14" borderId="28" xfId="0" applyFont="1" applyFill="1" applyBorder="1" applyAlignment="1">
      <alignment horizontal="right" vertical="center"/>
    </xf>
    <xf numFmtId="164" fontId="49" fillId="3" borderId="30" xfId="0" applyNumberFormat="1" applyFont="1" applyFill="1" applyBorder="1" applyAlignment="1">
      <alignment horizontal="center" vertical="center"/>
    </xf>
    <xf numFmtId="4" fontId="49" fillId="4" borderId="30" xfId="0" applyNumberFormat="1" applyFont="1" applyFill="1" applyBorder="1" applyAlignment="1">
      <alignment horizontal="center" vertical="center"/>
    </xf>
    <xf numFmtId="2" fontId="49" fillId="13" borderId="30" xfId="0" applyNumberFormat="1" applyFont="1" applyFill="1" applyBorder="1" applyAlignment="1">
      <alignment horizontal="center" vertical="center"/>
    </xf>
    <xf numFmtId="3" fontId="50" fillId="38" borderId="30" xfId="0" applyNumberFormat="1" applyFont="1" applyFill="1" applyBorder="1" applyAlignment="1" applyProtection="1">
      <alignment horizontal="center" vertical="center"/>
      <protection locked="0"/>
    </xf>
    <xf numFmtId="4" fontId="49" fillId="13" borderId="23" xfId="0" applyNumberFormat="1" applyFont="1" applyFill="1" applyBorder="1" applyAlignment="1">
      <alignment horizontal="center" vertical="center"/>
    </xf>
    <xf numFmtId="0" fontId="47" fillId="0" borderId="53" xfId="0" applyFont="1" applyBorder="1" applyAlignment="1">
      <alignment vertical="center"/>
    </xf>
    <xf numFmtId="0" fontId="152" fillId="14" borderId="0" xfId="0" applyFont="1" applyFill="1" applyAlignment="1">
      <alignment vertical="center"/>
    </xf>
    <xf numFmtId="164" fontId="49" fillId="45" borderId="30" xfId="0" applyNumberFormat="1" applyFont="1" applyFill="1" applyBorder="1" applyAlignment="1" applyProtection="1">
      <alignment horizontal="center" vertical="center"/>
      <protection locked="0"/>
    </xf>
    <xf numFmtId="0" fontId="47" fillId="0" borderId="34" xfId="0" applyFont="1" applyBorder="1" applyAlignment="1">
      <alignment vertical="center"/>
    </xf>
    <xf numFmtId="4" fontId="47" fillId="0" borderId="31" xfId="0" applyNumberFormat="1" applyFont="1" applyBorder="1" applyAlignment="1">
      <alignment horizontal="center" vertical="center"/>
    </xf>
    <xf numFmtId="0" fontId="48" fillId="16" borderId="54" xfId="0" applyFont="1" applyFill="1" applyBorder="1" applyAlignment="1">
      <alignment horizontal="center" vertical="center"/>
    </xf>
    <xf numFmtId="0" fontId="47" fillId="0" borderId="55" xfId="0" applyFont="1" applyBorder="1" applyAlignment="1">
      <alignment vertical="center"/>
    </xf>
    <xf numFmtId="4" fontId="50" fillId="16" borderId="30" xfId="0" applyNumberFormat="1" applyFont="1" applyFill="1" applyBorder="1" applyAlignment="1">
      <alignment horizontal="center" vertical="center"/>
    </xf>
    <xf numFmtId="0" fontId="66" fillId="14" borderId="0" xfId="0" applyFont="1" applyFill="1" applyAlignment="1">
      <alignment vertical="top"/>
    </xf>
    <xf numFmtId="165" fontId="49" fillId="14" borderId="30" xfId="0" applyNumberFormat="1" applyFont="1" applyFill="1" applyBorder="1" applyAlignment="1" applyProtection="1">
      <alignment horizontal="center" vertical="center"/>
      <protection locked="0"/>
    </xf>
    <xf numFmtId="0" fontId="67" fillId="14" borderId="0" xfId="0" applyFont="1" applyFill="1" applyAlignment="1">
      <alignment horizontal="left"/>
    </xf>
    <xf numFmtId="0" fontId="65" fillId="14" borderId="0" xfId="0" applyFont="1" applyFill="1" applyAlignment="1">
      <alignment horizontal="left"/>
    </xf>
    <xf numFmtId="0" fontId="66" fillId="14" borderId="0" xfId="0" applyFont="1" applyFill="1"/>
    <xf numFmtId="4" fontId="49" fillId="3" borderId="29" xfId="0" applyNumberFormat="1" applyFont="1" applyFill="1" applyBorder="1" applyAlignment="1">
      <alignment horizontal="center" vertical="center"/>
    </xf>
    <xf numFmtId="4" fontId="49" fillId="19" borderId="34" xfId="0" applyNumberFormat="1" applyFont="1" applyFill="1" applyBorder="1" applyAlignment="1">
      <alignment horizontal="center" vertical="center"/>
    </xf>
    <xf numFmtId="0" fontId="59" fillId="14" borderId="49" xfId="0" applyFont="1" applyFill="1" applyBorder="1" applyAlignment="1">
      <alignment horizontal="right" vertical="center"/>
    </xf>
    <xf numFmtId="0" fontId="32" fillId="0" borderId="23" xfId="0" applyFont="1" applyBorder="1" applyAlignment="1">
      <alignment horizontal="right" vertical="center"/>
    </xf>
    <xf numFmtId="0" fontId="32" fillId="0" borderId="23" xfId="0" applyFont="1" applyBorder="1" applyAlignment="1">
      <alignment vertical="center"/>
    </xf>
    <xf numFmtId="0" fontId="37" fillId="0" borderId="23" xfId="0" applyFont="1" applyBorder="1" applyAlignment="1">
      <alignment horizontal="center" vertical="center"/>
    </xf>
    <xf numFmtId="0" fontId="37" fillId="0" borderId="23" xfId="0" applyFont="1" applyBorder="1" applyAlignment="1">
      <alignment horizontal="right" vertical="center"/>
    </xf>
    <xf numFmtId="1" fontId="32" fillId="0" borderId="23" xfId="0" applyNumberFormat="1" applyFont="1" applyBorder="1" applyAlignment="1">
      <alignment horizontal="center" vertical="center"/>
    </xf>
    <xf numFmtId="169" fontId="32" fillId="0" borderId="23" xfId="0" applyNumberFormat="1" applyFont="1" applyBorder="1" applyAlignment="1">
      <alignment horizontal="center" vertical="center"/>
    </xf>
    <xf numFmtId="3" fontId="32" fillId="0" borderId="23" xfId="0" applyNumberFormat="1" applyFont="1" applyBorder="1" applyAlignment="1">
      <alignment horizontal="center" vertical="center"/>
    </xf>
    <xf numFmtId="0" fontId="154" fillId="0" borderId="23" xfId="0" applyFont="1" applyBorder="1" applyAlignment="1">
      <alignment horizontal="right"/>
    </xf>
    <xf numFmtId="0" fontId="154" fillId="0" borderId="23" xfId="0" applyFont="1" applyBorder="1" applyAlignment="1">
      <alignment horizontal="center"/>
    </xf>
    <xf numFmtId="0" fontId="153" fillId="0" borderId="23" xfId="0" applyFont="1" applyBorder="1" applyAlignment="1">
      <alignment horizontal="right"/>
    </xf>
    <xf numFmtId="0" fontId="153" fillId="0" borderId="23" xfId="0" applyFont="1" applyBorder="1" applyAlignment="1">
      <alignment horizontal="center"/>
    </xf>
    <xf numFmtId="0" fontId="37"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applyAlignment="1">
      <alignment vertical="center"/>
    </xf>
    <xf numFmtId="0" fontId="37" fillId="0" borderId="23" xfId="0" applyFont="1" applyBorder="1" applyAlignment="1">
      <alignment horizontal="right"/>
    </xf>
    <xf numFmtId="0" fontId="37" fillId="0" borderId="23" xfId="0" applyFont="1" applyBorder="1"/>
    <xf numFmtId="0" fontId="156" fillId="0" borderId="23" xfId="0" applyFont="1" applyBorder="1" applyAlignment="1">
      <alignment horizontal="right" vertical="center"/>
    </xf>
    <xf numFmtId="0" fontId="156" fillId="0" borderId="23" xfId="0" applyFont="1" applyBorder="1" applyAlignment="1">
      <alignment vertical="center"/>
    </xf>
    <xf numFmtId="0" fontId="157" fillId="0" borderId="23" xfId="0" applyFont="1" applyBorder="1" applyAlignment="1">
      <alignment horizontal="right" vertical="center"/>
    </xf>
    <xf numFmtId="0" fontId="157" fillId="0" borderId="23" xfId="0" applyFont="1" applyBorder="1"/>
    <xf numFmtId="0" fontId="32" fillId="0" borderId="23" xfId="0" applyFont="1" applyBorder="1"/>
    <xf numFmtId="3" fontId="72" fillId="0" borderId="48" xfId="0" applyNumberFormat="1" applyFont="1" applyBorder="1" applyAlignment="1">
      <alignment horizontal="center" vertical="center"/>
    </xf>
    <xf numFmtId="164" fontId="72" fillId="0" borderId="30" xfId="0" applyNumberFormat="1" applyFont="1" applyBorder="1" applyAlignment="1">
      <alignment horizontal="center"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0" fontId="71" fillId="0" borderId="0" xfId="0" applyFont="1" applyAlignment="1">
      <alignment vertical="center"/>
    </xf>
    <xf numFmtId="0" fontId="72" fillId="0" borderId="0" xfId="0" applyFont="1"/>
    <xf numFmtId="3" fontId="117" fillId="29" borderId="30" xfId="0" applyNumberFormat="1" applyFont="1" applyFill="1" applyBorder="1" applyAlignment="1">
      <alignment horizontal="center" vertical="center"/>
    </xf>
    <xf numFmtId="3" fontId="63" fillId="29" borderId="30" xfId="0" applyNumberFormat="1" applyFont="1" applyFill="1" applyBorder="1" applyAlignment="1">
      <alignment horizontal="center" vertical="center"/>
    </xf>
    <xf numFmtId="0" fontId="131" fillId="0" borderId="49" xfId="0" applyFont="1" applyBorder="1" applyAlignment="1">
      <alignment horizontal="center" vertical="center"/>
    </xf>
    <xf numFmtId="0" fontId="159" fillId="14" borderId="23" xfId="0" applyFont="1" applyFill="1" applyBorder="1" applyAlignment="1">
      <alignment vertical="center"/>
    </xf>
    <xf numFmtId="165" fontId="43" fillId="47" borderId="30" xfId="0" applyNumberFormat="1" applyFont="1" applyFill="1" applyBorder="1" applyAlignment="1">
      <alignment horizontal="center" vertical="center"/>
    </xf>
    <xf numFmtId="0" fontId="18" fillId="48" borderId="30" xfId="0" applyFont="1" applyFill="1" applyBorder="1" applyAlignment="1">
      <alignment horizontal="left" vertical="center"/>
    </xf>
    <xf numFmtId="0" fontId="148" fillId="49" borderId="13" xfId="0" applyFont="1" applyFill="1" applyBorder="1" applyAlignment="1">
      <alignment horizontal="center" vertical="center"/>
    </xf>
    <xf numFmtId="165" fontId="39" fillId="50" borderId="4" xfId="0" applyNumberFormat="1" applyFont="1" applyFill="1" applyBorder="1" applyAlignment="1">
      <alignment horizontal="center" vertical="center"/>
    </xf>
    <xf numFmtId="164" fontId="38" fillId="50" borderId="4" xfId="0" applyNumberFormat="1" applyFont="1" applyFill="1" applyBorder="1" applyAlignment="1">
      <alignment horizontal="center" vertical="center"/>
    </xf>
    <xf numFmtId="0" fontId="160" fillId="49" borderId="11" xfId="0" applyFont="1" applyFill="1" applyBorder="1" applyAlignment="1">
      <alignment horizontal="center" vertical="center"/>
    </xf>
    <xf numFmtId="0" fontId="47" fillId="14" borderId="0" xfId="0" applyFont="1" applyFill="1" applyAlignment="1" applyProtection="1">
      <alignment horizontal="center" vertical="center"/>
      <protection locked="0"/>
    </xf>
    <xf numFmtId="0" fontId="72" fillId="14" borderId="0" xfId="0" applyFont="1" applyFill="1" applyAlignment="1">
      <alignment vertical="center"/>
    </xf>
    <xf numFmtId="178" fontId="72" fillId="0" borderId="48" xfId="0" applyNumberFormat="1" applyFont="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72" fillId="0" borderId="0" xfId="0" applyFont="1" applyAlignment="1">
      <alignment vertical="center"/>
    </xf>
    <xf numFmtId="168" fontId="72" fillId="0" borderId="0" xfId="0" applyNumberFormat="1" applyFont="1" applyAlignment="1">
      <alignment horizontal="center" vertical="center"/>
    </xf>
    <xf numFmtId="0" fontId="147" fillId="14" borderId="0" xfId="0" applyFont="1" applyFill="1" applyAlignment="1">
      <alignment vertical="center"/>
    </xf>
    <xf numFmtId="0" fontId="147" fillId="14" borderId="44" xfId="0" applyFont="1" applyFill="1" applyBorder="1" applyAlignment="1">
      <alignment vertical="center"/>
    </xf>
    <xf numFmtId="178" fontId="147" fillId="18" borderId="30" xfId="0" applyNumberFormat="1" applyFont="1" applyFill="1" applyBorder="1" applyAlignment="1">
      <alignment horizontal="center" vertical="center"/>
    </xf>
    <xf numFmtId="168" fontId="147" fillId="0" borderId="0" xfId="0" applyNumberFormat="1" applyFont="1" applyAlignment="1">
      <alignment horizontal="center" vertical="center"/>
    </xf>
    <xf numFmtId="0" fontId="147" fillId="0" borderId="0" xfId="0" applyFont="1" applyAlignment="1">
      <alignment vertical="center"/>
    </xf>
    <xf numFmtId="0" fontId="147" fillId="0" borderId="0" xfId="0" applyFont="1"/>
    <xf numFmtId="0" fontId="52" fillId="0" borderId="0" xfId="0" applyFont="1"/>
    <xf numFmtId="0" fontId="52" fillId="14" borderId="0" xfId="0" applyFont="1" applyFill="1" applyAlignment="1">
      <alignment vertical="center"/>
    </xf>
    <xf numFmtId="0" fontId="52" fillId="0" borderId="0" xfId="0" applyFont="1" applyAlignment="1">
      <alignment vertical="center"/>
    </xf>
    <xf numFmtId="164" fontId="71" fillId="0" borderId="30" xfId="0" applyNumberFormat="1" applyFont="1" applyBorder="1" applyAlignment="1">
      <alignment horizontal="center" vertical="center"/>
    </xf>
    <xf numFmtId="0" fontId="77" fillId="38" borderId="5" xfId="0" applyFont="1" applyFill="1" applyBorder="1" applyAlignment="1">
      <alignment vertical="center"/>
    </xf>
    <xf numFmtId="3" fontId="77" fillId="0" borderId="30" xfId="0" applyNumberFormat="1" applyFont="1" applyBorder="1" applyAlignment="1">
      <alignment horizontal="center" vertical="center"/>
    </xf>
    <xf numFmtId="0" fontId="77" fillId="0" borderId="0" xfId="0" applyFont="1" applyAlignment="1">
      <alignment vertical="center"/>
    </xf>
    <xf numFmtId="0" fontId="77" fillId="14" borderId="0" xfId="0" applyFont="1" applyFill="1" applyAlignment="1">
      <alignment vertical="center"/>
    </xf>
    <xf numFmtId="0" fontId="72" fillId="0" borderId="23" xfId="0" applyFont="1" applyBorder="1"/>
    <xf numFmtId="0" fontId="71" fillId="16" borderId="30" xfId="0" applyFont="1" applyFill="1" applyBorder="1" applyAlignment="1">
      <alignment horizontal="right" vertical="center"/>
    </xf>
    <xf numFmtId="0" fontId="173" fillId="16" borderId="0" xfId="0" applyFont="1" applyFill="1" applyAlignment="1">
      <alignment horizontal="center" vertical="center"/>
    </xf>
    <xf numFmtId="0" fontId="174" fillId="14" borderId="0" xfId="0" applyFont="1" applyFill="1" applyAlignment="1">
      <alignment vertical="center"/>
    </xf>
    <xf numFmtId="2" fontId="77" fillId="0" borderId="49" xfId="0" applyNumberFormat="1" applyFont="1" applyBorder="1" applyAlignment="1">
      <alignment horizontal="center" vertical="center"/>
    </xf>
    <xf numFmtId="0" fontId="72" fillId="14" borderId="23" xfId="0" applyFont="1" applyFill="1" applyBorder="1"/>
    <xf numFmtId="0" fontId="71" fillId="14" borderId="23" xfId="0" applyFont="1" applyFill="1" applyBorder="1" applyAlignment="1">
      <alignment vertical="center"/>
    </xf>
    <xf numFmtId="0" fontId="77" fillId="36" borderId="30" xfId="0" applyFont="1" applyFill="1" applyBorder="1" applyAlignment="1">
      <alignment horizontal="left" vertical="center"/>
    </xf>
    <xf numFmtId="0" fontId="176" fillId="14" borderId="23" xfId="0" applyFont="1" applyFill="1" applyBorder="1" applyAlignment="1">
      <alignment horizontal="center" vertical="center"/>
    </xf>
    <xf numFmtId="3" fontId="72" fillId="8" borderId="48" xfId="0" applyNumberFormat="1" applyFont="1" applyFill="1" applyBorder="1" applyAlignment="1">
      <alignment horizontal="center" vertical="center"/>
    </xf>
    <xf numFmtId="3" fontId="72" fillId="8" borderId="30" xfId="0" applyNumberFormat="1" applyFont="1" applyFill="1" applyBorder="1" applyAlignment="1">
      <alignment horizontal="center" vertical="center"/>
    </xf>
    <xf numFmtId="3" fontId="72" fillId="33" borderId="30" xfId="0" applyNumberFormat="1" applyFont="1" applyFill="1" applyBorder="1" applyAlignment="1">
      <alignment horizontal="center" vertical="center"/>
    </xf>
    <xf numFmtId="164" fontId="72" fillId="0" borderId="48" xfId="0" applyNumberFormat="1" applyFont="1" applyBorder="1" applyAlignment="1">
      <alignment horizontal="center" vertical="center"/>
    </xf>
    <xf numFmtId="164" fontId="72" fillId="18" borderId="30" xfId="0" applyNumberFormat="1" applyFont="1" applyFill="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0" fontId="182" fillId="14" borderId="0" xfId="0" applyFont="1" applyFill="1" applyAlignment="1">
      <alignment vertical="center"/>
    </xf>
    <xf numFmtId="168" fontId="182" fillId="0" borderId="0" xfId="0" applyNumberFormat="1" applyFont="1" applyAlignment="1">
      <alignment horizontal="center" vertical="center"/>
    </xf>
    <xf numFmtId="0" fontId="182" fillId="0" borderId="0" xfId="0" applyFont="1" applyAlignment="1">
      <alignment vertical="center"/>
    </xf>
    <xf numFmtId="0" fontId="176" fillId="0" borderId="0" xfId="0" applyFont="1"/>
    <xf numFmtId="0" fontId="176" fillId="14" borderId="0" xfId="0" applyFont="1" applyFill="1" applyAlignment="1">
      <alignment vertical="center"/>
    </xf>
    <xf numFmtId="3" fontId="176" fillId="0" borderId="0" xfId="0" applyNumberFormat="1" applyFont="1" applyAlignment="1">
      <alignment horizontal="center" vertical="center"/>
    </xf>
    <xf numFmtId="0" fontId="176" fillId="0" borderId="0" xfId="0" applyFont="1" applyAlignment="1">
      <alignment vertical="center"/>
    </xf>
    <xf numFmtId="178" fontId="147" fillId="0" borderId="30" xfId="0" applyNumberFormat="1" applyFont="1" applyBorder="1" applyAlignment="1">
      <alignment horizontal="center" vertical="center"/>
    </xf>
    <xf numFmtId="3" fontId="147" fillId="0" borderId="30" xfId="0" applyNumberFormat="1" applyFont="1" applyBorder="1" applyAlignment="1">
      <alignment horizontal="center" vertical="center"/>
    </xf>
    <xf numFmtId="164" fontId="147" fillId="18" borderId="30" xfId="0" applyNumberFormat="1" applyFont="1" applyFill="1" applyBorder="1" applyAlignment="1">
      <alignment horizontal="center" vertical="center"/>
    </xf>
    <xf numFmtId="1" fontId="182" fillId="0" borderId="0" xfId="0" applyNumberFormat="1" applyFont="1" applyAlignment="1">
      <alignment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1" fontId="8" fillId="0" borderId="0" xfId="0" applyNumberFormat="1" applyFont="1" applyAlignment="1">
      <alignment vertical="center"/>
    </xf>
    <xf numFmtId="1" fontId="71" fillId="0" borderId="30" xfId="0" applyNumberFormat="1" applyFont="1" applyBorder="1" applyAlignment="1">
      <alignment horizontal="center" vertical="center"/>
    </xf>
    <xf numFmtId="1" fontId="71" fillId="18" borderId="30" xfId="0" applyNumberFormat="1" applyFont="1" applyFill="1" applyBorder="1" applyAlignment="1">
      <alignment horizontal="center" vertical="center"/>
    </xf>
    <xf numFmtId="178" fontId="71" fillId="0" borderId="30" xfId="0" applyNumberFormat="1" applyFont="1" applyBorder="1" applyAlignment="1">
      <alignment horizontal="center" vertical="center"/>
    </xf>
    <xf numFmtId="178" fontId="71" fillId="18" borderId="30" xfId="0" applyNumberFormat="1" applyFont="1" applyFill="1" applyBorder="1" applyAlignment="1">
      <alignment horizontal="center" vertical="center"/>
    </xf>
    <xf numFmtId="0" fontId="8" fillId="0" borderId="0" xfId="0" applyFont="1"/>
    <xf numFmtId="0" fontId="147" fillId="0" borderId="34" xfId="0" applyFont="1" applyBorder="1" applyAlignment="1">
      <alignment vertical="center"/>
    </xf>
    <xf numFmtId="3" fontId="183" fillId="0" borderId="49" xfId="0" applyNumberFormat="1" applyFont="1" applyBorder="1" applyAlignment="1">
      <alignment horizontal="center" vertical="center"/>
    </xf>
    <xf numFmtId="0" fontId="184" fillId="36" borderId="49" xfId="0" applyFont="1" applyFill="1" applyBorder="1" applyAlignment="1">
      <alignment horizontal="left" vertical="center"/>
    </xf>
    <xf numFmtId="0" fontId="52" fillId="14" borderId="23" xfId="0" applyFont="1" applyFill="1" applyBorder="1" applyAlignment="1">
      <alignment vertical="center"/>
    </xf>
    <xf numFmtId="0" fontId="72" fillId="14" borderId="23" xfId="0" applyFont="1" applyFill="1" applyBorder="1" applyAlignment="1">
      <alignment vertical="center"/>
    </xf>
    <xf numFmtId="0" fontId="129" fillId="14" borderId="23" xfId="0" applyFont="1" applyFill="1" applyBorder="1" applyAlignment="1">
      <alignment vertical="center"/>
    </xf>
    <xf numFmtId="0" fontId="147" fillId="14" borderId="23" xfId="0" applyFont="1" applyFill="1" applyBorder="1" applyAlignment="1">
      <alignment vertical="center"/>
    </xf>
    <xf numFmtId="0" fontId="50" fillId="14" borderId="23" xfId="0" applyFont="1" applyFill="1" applyBorder="1" applyAlignment="1">
      <alignment vertical="center"/>
    </xf>
    <xf numFmtId="0" fontId="129" fillId="0" borderId="23" xfId="0" applyFont="1" applyBorder="1" applyAlignment="1">
      <alignment vertical="center"/>
    </xf>
    <xf numFmtId="168" fontId="72" fillId="0" borderId="23" xfId="0" applyNumberFormat="1" applyFont="1" applyBorder="1" applyAlignment="1">
      <alignment horizontal="center" vertical="center"/>
    </xf>
    <xf numFmtId="168" fontId="147" fillId="0" borderId="23" xfId="0" applyNumberFormat="1" applyFont="1" applyBorder="1" applyAlignment="1">
      <alignment horizontal="center" vertical="center"/>
    </xf>
    <xf numFmtId="0" fontId="50" fillId="0" borderId="41" xfId="0" applyFont="1" applyBorder="1" applyAlignment="1">
      <alignment vertical="center"/>
    </xf>
    <xf numFmtId="0" fontId="50" fillId="0" borderId="44" xfId="0" applyFont="1" applyBorder="1" applyAlignment="1">
      <alignment vertical="center"/>
    </xf>
    <xf numFmtId="0" fontId="130" fillId="0" borderId="44" xfId="0" applyFont="1" applyBorder="1" applyAlignment="1">
      <alignment vertical="center"/>
    </xf>
    <xf numFmtId="0" fontId="43" fillId="0" borderId="34" xfId="0" applyFont="1" applyBorder="1" applyAlignment="1">
      <alignment horizontal="left" vertical="center"/>
    </xf>
    <xf numFmtId="0" fontId="158" fillId="0" borderId="57" xfId="0" applyFont="1" applyBorder="1" applyAlignment="1">
      <alignment horizontal="left" vertical="center"/>
    </xf>
    <xf numFmtId="0" fontId="172" fillId="16" borderId="58" xfId="0" applyFont="1" applyFill="1" applyBorder="1" applyAlignment="1">
      <alignment horizontal="right" vertical="center"/>
    </xf>
    <xf numFmtId="0" fontId="49" fillId="0" borderId="59" xfId="0" applyFont="1" applyBorder="1" applyAlignment="1">
      <alignment vertical="center"/>
    </xf>
    <xf numFmtId="1" fontId="72" fillId="0" borderId="59" xfId="0" applyNumberFormat="1" applyFont="1" applyBorder="1" applyAlignment="1">
      <alignment horizontal="center" vertical="center"/>
    </xf>
    <xf numFmtId="166" fontId="72" fillId="0" borderId="60" xfId="0" applyNumberFormat="1" applyFont="1" applyBorder="1" applyAlignment="1">
      <alignment horizontal="center" vertical="center"/>
    </xf>
    <xf numFmtId="3" fontId="72" fillId="0" borderId="59" xfId="0" applyNumberFormat="1" applyFont="1" applyBorder="1" applyAlignment="1">
      <alignment horizontal="center" vertical="center"/>
    </xf>
    <xf numFmtId="9" fontId="72" fillId="0" borderId="60" xfId="0" applyNumberFormat="1" applyFont="1" applyBorder="1" applyAlignment="1">
      <alignment horizontal="center" vertical="center"/>
    </xf>
    <xf numFmtId="177" fontId="72" fillId="0" borderId="59" xfId="0" applyNumberFormat="1" applyFont="1" applyBorder="1" applyAlignment="1">
      <alignment horizontal="center" vertical="center"/>
    </xf>
    <xf numFmtId="3" fontId="72" fillId="0" borderId="60" xfId="0" applyNumberFormat="1" applyFont="1" applyBorder="1" applyAlignment="1">
      <alignment horizontal="center" vertical="center"/>
    </xf>
    <xf numFmtId="178" fontId="147" fillId="18" borderId="62" xfId="0" applyNumberFormat="1" applyFont="1" applyFill="1" applyBorder="1" applyAlignment="1">
      <alignment horizontal="center" vertical="center"/>
    </xf>
    <xf numFmtId="0" fontId="147" fillId="0" borderId="63" xfId="0" applyFont="1" applyBorder="1" applyAlignment="1">
      <alignment horizontal="center" vertical="center"/>
    </xf>
    <xf numFmtId="0" fontId="129" fillId="0" borderId="60" xfId="0" applyFont="1" applyBorder="1" applyAlignment="1">
      <alignment vertical="center"/>
    </xf>
    <xf numFmtId="0" fontId="130" fillId="14" borderId="23" xfId="0" applyFont="1" applyFill="1" applyBorder="1" applyAlignment="1">
      <alignment vertical="center"/>
    </xf>
    <xf numFmtId="164" fontId="72" fillId="14" borderId="23" xfId="0" applyNumberFormat="1" applyFont="1" applyFill="1" applyBorder="1" applyAlignment="1">
      <alignment horizontal="center" vertical="center"/>
    </xf>
    <xf numFmtId="1" fontId="49" fillId="14" borderId="23" xfId="0" applyNumberFormat="1" applyFont="1" applyFill="1" applyBorder="1" applyAlignment="1">
      <alignment horizontal="center" vertical="center"/>
    </xf>
    <xf numFmtId="0" fontId="72" fillId="14" borderId="23" xfId="0" applyFont="1" applyFill="1" applyBorder="1" applyAlignment="1">
      <alignment horizontal="center" vertical="center"/>
    </xf>
    <xf numFmtId="164" fontId="49" fillId="14" borderId="23" xfId="0" applyNumberFormat="1" applyFont="1" applyFill="1" applyBorder="1" applyAlignment="1">
      <alignment horizontal="center" vertical="center"/>
    </xf>
    <xf numFmtId="0" fontId="71" fillId="0" borderId="23" xfId="0" applyFont="1" applyBorder="1" applyAlignment="1">
      <alignment vertical="center"/>
    </xf>
    <xf numFmtId="0" fontId="72" fillId="0" borderId="23" xfId="0" applyFont="1" applyBorder="1" applyAlignment="1">
      <alignment vertical="center"/>
    </xf>
    <xf numFmtId="0" fontId="130" fillId="0" borderId="23" xfId="0" applyFont="1" applyBorder="1" applyAlignment="1">
      <alignment vertical="center"/>
    </xf>
    <xf numFmtId="0" fontId="147" fillId="0" borderId="23" xfId="0" applyFont="1" applyBorder="1" applyAlignment="1">
      <alignment vertical="center"/>
    </xf>
    <xf numFmtId="0" fontId="130" fillId="0" borderId="36" xfId="0" applyFont="1" applyBorder="1" applyAlignment="1">
      <alignment vertical="center"/>
    </xf>
    <xf numFmtId="0" fontId="129" fillId="0" borderId="39" xfId="0" applyFont="1" applyBorder="1" applyAlignment="1">
      <alignment vertical="center"/>
    </xf>
    <xf numFmtId="0" fontId="9" fillId="0" borderId="23" xfId="0" applyFont="1" applyBorder="1" applyAlignment="1">
      <alignment vertical="center"/>
    </xf>
    <xf numFmtId="0" fontId="158" fillId="0" borderId="64" xfId="0" applyFont="1" applyBorder="1" applyAlignment="1">
      <alignment vertical="center"/>
    </xf>
    <xf numFmtId="0" fontId="49" fillId="0" borderId="64" xfId="0" applyFont="1" applyBorder="1" applyAlignment="1">
      <alignment vertical="center"/>
    </xf>
    <xf numFmtId="0" fontId="147" fillId="31" borderId="64" xfId="0" applyFont="1" applyFill="1" applyBorder="1" applyAlignment="1">
      <alignment horizontal="right" vertical="center"/>
    </xf>
    <xf numFmtId="0" fontId="71" fillId="31" borderId="64" xfId="0" applyFont="1" applyFill="1" applyBorder="1" applyAlignment="1">
      <alignment horizontal="left" vertical="center"/>
    </xf>
    <xf numFmtId="0" fontId="71" fillId="31" borderId="65" xfId="0" applyFont="1" applyFill="1" applyBorder="1" applyAlignment="1">
      <alignment horizontal="left" vertical="center"/>
    </xf>
    <xf numFmtId="0" fontId="49" fillId="0" borderId="66" xfId="0" applyFont="1" applyBorder="1" applyAlignment="1">
      <alignment vertical="center"/>
    </xf>
    <xf numFmtId="0" fontId="72" fillId="0" borderId="68" xfId="0" applyFont="1" applyBorder="1" applyAlignment="1">
      <alignment vertical="center"/>
    </xf>
    <xf numFmtId="164" fontId="72" fillId="0" borderId="69" xfId="0" applyNumberFormat="1" applyFont="1" applyBorder="1" applyAlignment="1">
      <alignment horizontal="center" vertical="center"/>
    </xf>
    <xf numFmtId="167" fontId="49" fillId="0" borderId="66" xfId="0" applyNumberFormat="1" applyFont="1" applyBorder="1" applyAlignment="1">
      <alignment horizontal="center" vertical="center"/>
    </xf>
    <xf numFmtId="167" fontId="49" fillId="0" borderId="67" xfId="0" applyNumberFormat="1" applyFont="1" applyBorder="1" applyAlignment="1">
      <alignment horizontal="center" vertical="center"/>
    </xf>
    <xf numFmtId="1" fontId="49" fillId="0" borderId="67" xfId="0" applyNumberFormat="1" applyFont="1" applyBorder="1" applyAlignment="1">
      <alignment horizontal="center" vertical="center"/>
    </xf>
    <xf numFmtId="0" fontId="49" fillId="0" borderId="67" xfId="0" applyFont="1" applyBorder="1" applyAlignment="1">
      <alignment horizontal="center" vertical="center"/>
    </xf>
    <xf numFmtId="0" fontId="49" fillId="0" borderId="66" xfId="0" applyFont="1" applyBorder="1" applyAlignment="1">
      <alignment horizontal="center" vertical="center"/>
    </xf>
    <xf numFmtId="9" fontId="72" fillId="0" borderId="68" xfId="0" applyNumberFormat="1" applyFont="1" applyBorder="1" applyAlignment="1">
      <alignment horizontal="center" vertical="center"/>
    </xf>
    <xf numFmtId="0" fontId="52" fillId="0" borderId="68" xfId="0" applyFont="1" applyBorder="1" applyAlignment="1">
      <alignment vertical="center"/>
    </xf>
    <xf numFmtId="0" fontId="72" fillId="0" borderId="69" xfId="0" applyFont="1" applyBorder="1" applyAlignment="1">
      <alignment vertical="center"/>
    </xf>
    <xf numFmtId="0" fontId="72" fillId="0" borderId="70" xfId="0" applyFont="1" applyBorder="1" applyAlignment="1">
      <alignment vertical="center"/>
    </xf>
    <xf numFmtId="177" fontId="72" fillId="0" borderId="71" xfId="0" applyNumberFormat="1" applyFont="1" applyBorder="1" applyAlignment="1">
      <alignment horizontal="center" vertical="center"/>
    </xf>
    <xf numFmtId="0" fontId="72" fillId="0" borderId="72" xfId="0" applyFont="1" applyBorder="1" applyAlignment="1">
      <alignment vertical="center"/>
    </xf>
    <xf numFmtId="164" fontId="72" fillId="0" borderId="66" xfId="0" applyNumberFormat="1" applyFont="1" applyBorder="1" applyAlignment="1">
      <alignment horizontal="center" vertical="center"/>
    </xf>
    <xf numFmtId="164" fontId="72" fillId="0" borderId="67" xfId="0" applyNumberFormat="1" applyFont="1" applyBorder="1" applyAlignment="1">
      <alignment horizontal="center" vertical="center"/>
    </xf>
    <xf numFmtId="1" fontId="49" fillId="0" borderId="66" xfId="0" applyNumberFormat="1" applyFont="1" applyBorder="1" applyAlignment="1">
      <alignment horizontal="center" vertical="center"/>
    </xf>
    <xf numFmtId="9" fontId="72" fillId="0" borderId="66" xfId="0" applyNumberFormat="1" applyFont="1" applyBorder="1" applyAlignment="1">
      <alignment horizontal="center" vertical="center"/>
    </xf>
    <xf numFmtId="0" fontId="52" fillId="0" borderId="66" xfId="0" applyFont="1" applyBorder="1" applyAlignment="1">
      <alignment vertical="center"/>
    </xf>
    <xf numFmtId="0" fontId="72" fillId="0" borderId="66" xfId="0" applyFont="1" applyBorder="1" applyAlignment="1">
      <alignment vertical="center"/>
    </xf>
    <xf numFmtId="0" fontId="72" fillId="0" borderId="67" xfId="0" applyFont="1" applyBorder="1" applyAlignment="1">
      <alignment vertical="center"/>
    </xf>
    <xf numFmtId="0" fontId="72" fillId="0" borderId="73" xfId="0" applyFont="1" applyBorder="1" applyAlignment="1">
      <alignment vertical="center"/>
    </xf>
    <xf numFmtId="177" fontId="72" fillId="0" borderId="74" xfId="0" applyNumberFormat="1" applyFont="1" applyBorder="1" applyAlignment="1">
      <alignment horizontal="center" vertical="center"/>
    </xf>
    <xf numFmtId="0" fontId="72" fillId="0" borderId="75" xfId="0" applyFont="1" applyBorder="1" applyAlignment="1">
      <alignment vertical="center"/>
    </xf>
    <xf numFmtId="0" fontId="129" fillId="0" borderId="67" xfId="0" applyFont="1" applyBorder="1" applyAlignment="1">
      <alignment vertical="center"/>
    </xf>
    <xf numFmtId="0" fontId="129" fillId="0" borderId="67" xfId="0" applyFont="1" applyBorder="1" applyAlignment="1">
      <alignment horizontal="center" vertical="center"/>
    </xf>
    <xf numFmtId="177" fontId="72" fillId="18" borderId="74" xfId="0" applyNumberFormat="1" applyFont="1" applyFill="1" applyBorder="1" applyAlignment="1">
      <alignment horizontal="center" vertical="center"/>
    </xf>
    <xf numFmtId="0" fontId="50" fillId="0" borderId="76" xfId="0" applyFont="1" applyBorder="1" applyAlignment="1">
      <alignment vertical="center"/>
    </xf>
    <xf numFmtId="0" fontId="59" fillId="0" borderId="77" xfId="0" applyFont="1" applyBorder="1" applyAlignment="1">
      <alignment vertical="center"/>
    </xf>
    <xf numFmtId="0" fontId="49" fillId="0" borderId="78" xfId="0" applyFont="1" applyBorder="1" applyAlignment="1">
      <alignment vertical="center"/>
    </xf>
    <xf numFmtId="0" fontId="49" fillId="0" borderId="79" xfId="0" applyFont="1" applyBorder="1" applyAlignment="1">
      <alignment vertical="center"/>
    </xf>
    <xf numFmtId="0" fontId="129" fillId="0" borderId="79" xfId="0" applyFont="1" applyBorder="1" applyAlignment="1">
      <alignment vertical="center"/>
    </xf>
    <xf numFmtId="0" fontId="49" fillId="0" borderId="80" xfId="0" applyFont="1" applyBorder="1" applyAlignment="1">
      <alignment vertical="center"/>
    </xf>
    <xf numFmtId="0" fontId="49" fillId="0" borderId="81" xfId="0" applyFont="1" applyBorder="1" applyAlignment="1">
      <alignment vertical="center"/>
    </xf>
    <xf numFmtId="0" fontId="129" fillId="0" borderId="81" xfId="0" applyFont="1" applyBorder="1" applyAlignment="1">
      <alignment vertical="center"/>
    </xf>
    <xf numFmtId="0" fontId="172" fillId="31" borderId="82" xfId="0" applyFont="1" applyFill="1" applyBorder="1" applyAlignment="1">
      <alignment horizontal="center" vertical="center"/>
    </xf>
    <xf numFmtId="0" fontId="172" fillId="31" borderId="83" xfId="0" applyFont="1" applyFill="1" applyBorder="1" applyAlignment="1">
      <alignment horizontal="center" vertical="center"/>
    </xf>
    <xf numFmtId="0" fontId="71" fillId="35" borderId="84" xfId="0" applyFont="1" applyFill="1" applyBorder="1" applyAlignment="1">
      <alignment horizontal="center" vertical="center"/>
    </xf>
    <xf numFmtId="0" fontId="71" fillId="35" borderId="85" xfId="0" applyFont="1" applyFill="1" applyBorder="1" applyAlignment="1">
      <alignment horizontal="center" vertical="center"/>
    </xf>
    <xf numFmtId="0" fontId="71" fillId="35" borderId="86" xfId="0" applyFont="1" applyFill="1" applyBorder="1" applyAlignment="1">
      <alignment horizontal="center" vertical="center"/>
    </xf>
    <xf numFmtId="0" fontId="71" fillId="35" borderId="87" xfId="0" applyFont="1" applyFill="1" applyBorder="1" applyAlignment="1">
      <alignment horizontal="center" vertical="center"/>
    </xf>
    <xf numFmtId="0" fontId="71" fillId="35" borderId="88" xfId="0" applyFont="1" applyFill="1" applyBorder="1" applyAlignment="1">
      <alignment horizontal="center" vertical="center"/>
    </xf>
    <xf numFmtId="0" fontId="71" fillId="35" borderId="89" xfId="0" applyFont="1" applyFill="1" applyBorder="1" applyAlignment="1">
      <alignment horizontal="center" vertical="center"/>
    </xf>
    <xf numFmtId="0" fontId="71" fillId="35" borderId="90" xfId="0" applyFont="1" applyFill="1" applyBorder="1" applyAlignment="1">
      <alignment horizontal="center" vertical="center"/>
    </xf>
    <xf numFmtId="0" fontId="71" fillId="35" borderId="91" xfId="0" applyFont="1" applyFill="1" applyBorder="1" applyAlignment="1">
      <alignment horizontal="center" vertical="center"/>
    </xf>
    <xf numFmtId="0" fontId="71" fillId="35" borderId="92" xfId="0" applyFont="1" applyFill="1" applyBorder="1" applyAlignment="1">
      <alignment horizontal="center" vertical="center"/>
    </xf>
    <xf numFmtId="0" fontId="0" fillId="14" borderId="23" xfId="0" applyFill="1" applyBorder="1" applyAlignment="1">
      <alignment vertical="center"/>
    </xf>
    <xf numFmtId="0" fontId="8" fillId="14" borderId="23" xfId="0" applyFont="1" applyFill="1" applyBorder="1" applyAlignment="1">
      <alignment vertical="center"/>
    </xf>
    <xf numFmtId="0" fontId="182" fillId="14" borderId="23" xfId="0" applyFont="1" applyFill="1" applyBorder="1" applyAlignment="1">
      <alignment vertical="center"/>
    </xf>
    <xf numFmtId="0" fontId="176" fillId="14" borderId="23" xfId="0" applyFont="1" applyFill="1" applyBorder="1" applyAlignment="1">
      <alignment vertical="center"/>
    </xf>
    <xf numFmtId="0" fontId="9" fillId="14" borderId="23" xfId="0" applyFont="1" applyFill="1" applyBorder="1" applyAlignment="1">
      <alignment vertical="center"/>
    </xf>
    <xf numFmtId="0" fontId="71" fillId="14" borderId="23" xfId="0" applyFont="1" applyFill="1" applyBorder="1" applyAlignment="1">
      <alignment horizontal="center" vertical="center"/>
    </xf>
    <xf numFmtId="168" fontId="8" fillId="0" borderId="23" xfId="0" applyNumberFormat="1" applyFont="1" applyBorder="1" applyAlignment="1">
      <alignment horizontal="center" vertical="center"/>
    </xf>
    <xf numFmtId="168" fontId="182" fillId="0" borderId="23" xfId="0" applyNumberFormat="1" applyFont="1" applyBorder="1" applyAlignment="1">
      <alignment horizontal="center" vertical="center"/>
    </xf>
    <xf numFmtId="0" fontId="129" fillId="14" borderId="23" xfId="0" applyFont="1" applyFill="1" applyBorder="1" applyAlignment="1">
      <alignment horizontal="center" vertical="center"/>
    </xf>
    <xf numFmtId="0" fontId="130" fillId="14" borderId="23" xfId="0" applyFont="1" applyFill="1" applyBorder="1" applyAlignment="1">
      <alignment horizontal="center" vertical="center"/>
    </xf>
    <xf numFmtId="1" fontId="129" fillId="14" borderId="23" xfId="0" applyNumberFormat="1" applyFont="1" applyFill="1" applyBorder="1" applyAlignment="1">
      <alignment horizontal="center" vertical="center"/>
    </xf>
    <xf numFmtId="164" fontId="129" fillId="14" borderId="23" xfId="0" applyNumberFormat="1" applyFont="1" applyFill="1" applyBorder="1" applyAlignment="1">
      <alignment horizontal="center" vertical="center"/>
    </xf>
    <xf numFmtId="164" fontId="71" fillId="14" borderId="23" xfId="0" applyNumberFormat="1" applyFont="1" applyFill="1" applyBorder="1" applyAlignment="1">
      <alignment horizontal="center" vertical="center"/>
    </xf>
    <xf numFmtId="166" fontId="129" fillId="14" borderId="23" xfId="0" applyNumberFormat="1" applyFont="1" applyFill="1" applyBorder="1" applyAlignment="1">
      <alignment horizontal="center" vertical="center"/>
    </xf>
    <xf numFmtId="164" fontId="147" fillId="14" borderId="23" xfId="0" applyNumberFormat="1" applyFont="1" applyFill="1" applyBorder="1" applyAlignment="1">
      <alignment horizontal="center" vertical="center"/>
    </xf>
    <xf numFmtId="3" fontId="176" fillId="0" borderId="23" xfId="0" applyNumberFormat="1" applyFont="1" applyBorder="1" applyAlignment="1">
      <alignment horizontal="center" vertical="center"/>
    </xf>
    <xf numFmtId="1" fontId="9" fillId="0" borderId="23" xfId="0" applyNumberFormat="1" applyFont="1" applyBorder="1" applyAlignment="1">
      <alignment vertical="center"/>
    </xf>
    <xf numFmtId="0" fontId="182" fillId="0" borderId="23" xfId="0" applyFont="1" applyBorder="1" applyAlignment="1">
      <alignment vertical="center"/>
    </xf>
    <xf numFmtId="0" fontId="129" fillId="0" borderId="34" xfId="0" applyFont="1" applyBorder="1" applyAlignment="1">
      <alignment horizontal="left" vertical="center"/>
    </xf>
    <xf numFmtId="0" fontId="129" fillId="0" borderId="34" xfId="0" applyFont="1" applyBorder="1" applyAlignment="1">
      <alignment horizontal="center" vertical="center"/>
    </xf>
    <xf numFmtId="3" fontId="129" fillId="0" borderId="34" xfId="0" applyNumberFormat="1" applyFont="1" applyBorder="1" applyAlignment="1">
      <alignment horizontal="center" vertical="center"/>
    </xf>
    <xf numFmtId="0" fontId="130" fillId="0" borderId="57" xfId="0" applyFont="1" applyBorder="1" applyAlignment="1">
      <alignment vertical="center"/>
    </xf>
    <xf numFmtId="0" fontId="107" fillId="0" borderId="57" xfId="0" applyFont="1" applyBorder="1" applyAlignment="1">
      <alignment horizontal="left" vertical="center"/>
    </xf>
    <xf numFmtId="0" fontId="129" fillId="0" borderId="57" xfId="0" applyFont="1" applyBorder="1" applyAlignment="1">
      <alignment horizontal="left" vertical="center"/>
    </xf>
    <xf numFmtId="0" fontId="147" fillId="31" borderId="57" xfId="0" applyFont="1" applyFill="1" applyBorder="1" applyAlignment="1">
      <alignment horizontal="right" vertical="center"/>
    </xf>
    <xf numFmtId="0" fontId="71" fillId="31" borderId="57" xfId="0" applyFont="1" applyFill="1" applyBorder="1" applyAlignment="1">
      <alignment horizontal="left" vertical="center"/>
    </xf>
    <xf numFmtId="0" fontId="71" fillId="31" borderId="58" xfId="0" applyFont="1" applyFill="1" applyBorder="1" applyAlignment="1">
      <alignment horizontal="left" vertical="center"/>
    </xf>
    <xf numFmtId="0" fontId="129" fillId="0" borderId="59" xfId="0" applyFont="1" applyBorder="1" applyAlignment="1">
      <alignment vertical="center"/>
    </xf>
    <xf numFmtId="166" fontId="129" fillId="0" borderId="60" xfId="0" applyNumberFormat="1" applyFont="1" applyBorder="1" applyAlignment="1">
      <alignment horizontal="center" vertical="center"/>
    </xf>
    <xf numFmtId="0" fontId="72" fillId="0" borderId="59" xfId="0" applyFont="1" applyBorder="1" applyAlignment="1">
      <alignment vertical="center"/>
    </xf>
    <xf numFmtId="9" fontId="129" fillId="0" borderId="59" xfId="0" applyNumberFormat="1" applyFont="1" applyBorder="1" applyAlignment="1">
      <alignment vertical="center"/>
    </xf>
    <xf numFmtId="9" fontId="129" fillId="0" borderId="60" xfId="0" applyNumberFormat="1" applyFont="1" applyBorder="1" applyAlignment="1">
      <alignment horizontal="center" vertical="center"/>
    </xf>
    <xf numFmtId="0" fontId="71" fillId="0" borderId="59" xfId="0" applyFont="1" applyBorder="1" applyAlignment="1">
      <alignment vertical="center"/>
    </xf>
    <xf numFmtId="164" fontId="71" fillId="0" borderId="60" xfId="0" applyNumberFormat="1" applyFont="1" applyBorder="1" applyAlignment="1">
      <alignment horizontal="center" vertical="center"/>
    </xf>
    <xf numFmtId="164" fontId="129" fillId="0" borderId="60" xfId="0" applyNumberFormat="1" applyFont="1" applyBorder="1" applyAlignment="1">
      <alignment horizontal="center" vertical="center"/>
    </xf>
    <xf numFmtId="0" fontId="129" fillId="0" borderId="60" xfId="0" applyFont="1" applyBorder="1" applyAlignment="1">
      <alignment horizontal="center" vertical="center"/>
    </xf>
    <xf numFmtId="164" fontId="147" fillId="0" borderId="60" xfId="0" applyNumberFormat="1" applyFont="1" applyBorder="1" applyAlignment="1">
      <alignment horizontal="center" vertical="center"/>
    </xf>
    <xf numFmtId="0" fontId="147" fillId="0" borderId="59" xfId="0" applyFont="1" applyBorder="1" applyAlignment="1">
      <alignment vertical="center"/>
    </xf>
    <xf numFmtId="0" fontId="147" fillId="0" borderId="60" xfId="0" applyFont="1" applyBorder="1" applyAlignment="1">
      <alignment vertical="center"/>
    </xf>
    <xf numFmtId="0" fontId="71" fillId="0" borderId="60" xfId="0" applyFont="1" applyBorder="1" applyAlignment="1">
      <alignment vertical="center"/>
    </xf>
    <xf numFmtId="0" fontId="71" fillId="0" borderId="61" xfId="0" applyFont="1" applyBorder="1" applyAlignment="1">
      <alignment vertical="center"/>
    </xf>
    <xf numFmtId="177" fontId="71" fillId="0" borderId="62" xfId="0" applyNumberFormat="1" applyFont="1" applyBorder="1" applyAlignment="1">
      <alignment horizontal="center" vertical="center"/>
    </xf>
    <xf numFmtId="0" fontId="71" fillId="0" borderId="63" xfId="0" applyFont="1" applyBorder="1" applyAlignment="1">
      <alignment vertical="center"/>
    </xf>
    <xf numFmtId="0" fontId="130" fillId="0" borderId="59" xfId="0" applyFont="1" applyBorder="1" applyAlignment="1">
      <alignment horizontal="center" vertical="center"/>
    </xf>
    <xf numFmtId="0" fontId="71" fillId="0" borderId="59" xfId="0" applyFont="1" applyBorder="1" applyAlignment="1">
      <alignment horizontal="center" vertical="center"/>
    </xf>
    <xf numFmtId="0" fontId="71" fillId="0" borderId="60" xfId="0" applyFont="1" applyBorder="1" applyAlignment="1">
      <alignment horizontal="center" vertical="center"/>
    </xf>
    <xf numFmtId="0" fontId="130" fillId="0" borderId="60" xfId="0" applyFont="1" applyBorder="1" applyAlignment="1">
      <alignment horizontal="center" vertical="center"/>
    </xf>
    <xf numFmtId="1" fontId="129" fillId="0" borderId="60" xfId="0" applyNumberFormat="1" applyFont="1" applyBorder="1" applyAlignment="1">
      <alignment horizontal="center" vertical="center"/>
    </xf>
    <xf numFmtId="0" fontId="129" fillId="0" borderId="59" xfId="0" applyFont="1" applyBorder="1" applyAlignment="1">
      <alignment horizontal="center" vertical="center"/>
    </xf>
    <xf numFmtId="1" fontId="129" fillId="0" borderId="59" xfId="0" applyNumberFormat="1" applyFont="1" applyBorder="1" applyAlignment="1">
      <alignment horizontal="center" vertical="center"/>
    </xf>
    <xf numFmtId="0" fontId="130" fillId="0" borderId="60" xfId="0" applyFont="1" applyBorder="1" applyAlignment="1">
      <alignment vertical="center"/>
    </xf>
    <xf numFmtId="0" fontId="72" fillId="0" borderId="60" xfId="0" applyFont="1" applyBorder="1" applyAlignment="1">
      <alignment vertical="center"/>
    </xf>
    <xf numFmtId="0" fontId="52" fillId="0" borderId="60" xfId="0" applyFont="1" applyBorder="1" applyAlignment="1">
      <alignment vertical="center"/>
    </xf>
    <xf numFmtId="177" fontId="71" fillId="18" borderId="62" xfId="0" applyNumberFormat="1" applyFont="1" applyFill="1" applyBorder="1" applyAlignment="1">
      <alignment horizontal="center" vertical="center"/>
    </xf>
    <xf numFmtId="3" fontId="147" fillId="0" borderId="48" xfId="0" applyNumberFormat="1" applyFont="1" applyBorder="1" applyAlignment="1">
      <alignment horizontal="center" vertical="center"/>
    </xf>
    <xf numFmtId="164" fontId="147" fillId="0" borderId="69" xfId="0" applyNumberFormat="1" applyFont="1" applyBorder="1" applyAlignment="1">
      <alignment horizontal="center" vertical="center"/>
    </xf>
    <xf numFmtId="164" fontId="147" fillId="0" borderId="67" xfId="0" applyNumberFormat="1" applyFont="1" applyBorder="1" applyAlignment="1">
      <alignment horizontal="center" vertical="center"/>
    </xf>
    <xf numFmtId="3" fontId="147" fillId="18" borderId="30" xfId="0" applyNumberFormat="1" applyFont="1" applyFill="1" applyBorder="1" applyAlignment="1">
      <alignment horizontal="center" vertical="center"/>
    </xf>
    <xf numFmtId="0" fontId="147" fillId="0" borderId="67" xfId="0" applyFont="1" applyBorder="1" applyAlignment="1">
      <alignment vertical="center"/>
    </xf>
    <xf numFmtId="178" fontId="147" fillId="0" borderId="48" xfId="0" applyNumberFormat="1" applyFont="1" applyBorder="1" applyAlignment="1">
      <alignment horizontal="center" vertical="center"/>
    </xf>
    <xf numFmtId="0" fontId="147" fillId="0" borderId="69" xfId="0" applyFont="1" applyBorder="1" applyAlignment="1">
      <alignment vertical="center"/>
    </xf>
    <xf numFmtId="0" fontId="147" fillId="0" borderId="66" xfId="0" applyFont="1" applyBorder="1" applyAlignment="1">
      <alignment vertical="center"/>
    </xf>
    <xf numFmtId="166" fontId="72" fillId="0" borderId="61" xfId="0" applyNumberFormat="1" applyFont="1" applyBorder="1" applyAlignment="1">
      <alignment horizontal="center" vertical="center"/>
    </xf>
    <xf numFmtId="0" fontId="52" fillId="0" borderId="63" xfId="0" applyFont="1" applyBorder="1" applyAlignment="1">
      <alignment horizontal="center" vertical="center"/>
    </xf>
    <xf numFmtId="9" fontId="72" fillId="0" borderId="61" xfId="0" applyNumberFormat="1" applyFont="1" applyBorder="1" applyAlignment="1">
      <alignment horizontal="center" vertical="center"/>
    </xf>
    <xf numFmtId="0" fontId="147" fillId="0" borderId="23" xfId="0" applyFont="1" applyBorder="1" applyAlignment="1">
      <alignment horizontal="center" vertical="center"/>
    </xf>
    <xf numFmtId="0" fontId="147" fillId="0" borderId="0" xfId="0" applyFont="1" applyAlignment="1">
      <alignment horizontal="center" vertical="center"/>
    </xf>
    <xf numFmtId="0" fontId="26" fillId="35" borderId="87" xfId="0" applyFont="1" applyFill="1" applyBorder="1" applyAlignment="1">
      <alignment horizontal="center" vertical="center"/>
    </xf>
    <xf numFmtId="0" fontId="26" fillId="35" borderId="88" xfId="0" applyFont="1" applyFill="1" applyBorder="1" applyAlignment="1">
      <alignment horizontal="center" vertical="center"/>
    </xf>
    <xf numFmtId="0" fontId="26" fillId="35" borderId="89" xfId="0" applyFont="1" applyFill="1" applyBorder="1" applyAlignment="1">
      <alignment horizontal="center" vertical="center"/>
    </xf>
    <xf numFmtId="0" fontId="26" fillId="35" borderId="90" xfId="0" applyFont="1" applyFill="1" applyBorder="1" applyAlignment="1">
      <alignment horizontal="center" vertical="center"/>
    </xf>
    <xf numFmtId="0" fontId="26" fillId="35" borderId="91" xfId="0" applyFont="1" applyFill="1" applyBorder="1" applyAlignment="1">
      <alignment horizontal="center" vertical="center"/>
    </xf>
    <xf numFmtId="0" fontId="26" fillId="35" borderId="92" xfId="0" applyFont="1" applyFill="1" applyBorder="1" applyAlignment="1">
      <alignment horizontal="center" vertical="center"/>
    </xf>
    <xf numFmtId="0" fontId="49" fillId="0" borderId="23" xfId="0" applyFont="1" applyBorder="1" applyAlignment="1">
      <alignment vertical="center"/>
    </xf>
    <xf numFmtId="0" fontId="50" fillId="0" borderId="78" xfId="0" applyFont="1" applyBorder="1" applyAlignment="1">
      <alignment vertical="center"/>
    </xf>
    <xf numFmtId="0" fontId="130" fillId="0" borderId="79" xfId="0" applyFont="1" applyBorder="1" applyAlignment="1">
      <alignment vertical="center"/>
    </xf>
    <xf numFmtId="0" fontId="175" fillId="34" borderId="61" xfId="0" applyFont="1" applyFill="1" applyBorder="1" applyAlignment="1">
      <alignment horizontal="center" vertical="center"/>
    </xf>
    <xf numFmtId="0" fontId="77" fillId="34" borderId="62" xfId="0" applyFont="1" applyFill="1" applyBorder="1" applyAlignment="1">
      <alignment horizontal="center" vertical="center"/>
    </xf>
    <xf numFmtId="0" fontId="175" fillId="34" borderId="62" xfId="0" applyFont="1" applyFill="1" applyBorder="1" applyAlignment="1">
      <alignment horizontal="center" vertical="center"/>
    </xf>
    <xf numFmtId="0" fontId="147" fillId="14" borderId="97" xfId="0" applyFont="1" applyFill="1" applyBorder="1" applyAlignment="1">
      <alignment vertical="center"/>
    </xf>
    <xf numFmtId="0" fontId="175" fillId="34" borderId="63" xfId="0" applyFont="1" applyFill="1" applyBorder="1" applyAlignment="1">
      <alignment horizontal="center" vertical="center"/>
    </xf>
    <xf numFmtId="0" fontId="176" fillId="0" borderId="23" xfId="0" applyFont="1" applyBorder="1" applyAlignment="1">
      <alignment vertical="center"/>
    </xf>
    <xf numFmtId="0" fontId="130" fillId="0" borderId="41" xfId="0" applyFont="1" applyBorder="1" applyAlignment="1">
      <alignment vertical="center"/>
    </xf>
    <xf numFmtId="0" fontId="129" fillId="0" borderId="44" xfId="0" applyFont="1" applyBorder="1" applyAlignment="1">
      <alignment vertical="center"/>
    </xf>
    <xf numFmtId="0" fontId="147" fillId="0" borderId="78" xfId="0" applyFont="1" applyBorder="1" applyAlignment="1">
      <alignment vertical="center"/>
    </xf>
    <xf numFmtId="0" fontId="147" fillId="0" borderId="79" xfId="0" applyFont="1" applyBorder="1" applyAlignment="1">
      <alignment vertical="center"/>
    </xf>
    <xf numFmtId="9" fontId="72" fillId="0" borderId="59" xfId="0" applyNumberFormat="1" applyFont="1" applyBorder="1" applyAlignment="1">
      <alignment horizontal="center" vertical="center"/>
    </xf>
    <xf numFmtId="165" fontId="72" fillId="0" borderId="59" xfId="0" applyNumberFormat="1" applyFont="1" applyBorder="1" applyAlignment="1">
      <alignment horizontal="center" vertical="center"/>
    </xf>
    <xf numFmtId="167" fontId="72" fillId="0" borderId="59" xfId="0" applyNumberFormat="1" applyFont="1" applyBorder="1" applyAlignment="1">
      <alignment horizontal="center" vertical="center"/>
    </xf>
    <xf numFmtId="0" fontId="72" fillId="0" borderId="59" xfId="0" applyFont="1" applyBorder="1" applyAlignment="1">
      <alignment horizontal="center" vertical="center"/>
    </xf>
    <xf numFmtId="9" fontId="49" fillId="0" borderId="59" xfId="0" applyNumberFormat="1" applyFont="1" applyBorder="1" applyAlignment="1">
      <alignment horizontal="center" vertical="center"/>
    </xf>
    <xf numFmtId="164" fontId="49" fillId="0" borderId="59" xfId="0" applyNumberFormat="1" applyFont="1" applyBorder="1" applyAlignment="1">
      <alignment horizontal="center" vertical="center"/>
    </xf>
    <xf numFmtId="164" fontId="72" fillId="0" borderId="59" xfId="0" applyNumberFormat="1" applyFont="1" applyBorder="1" applyAlignment="1">
      <alignment horizontal="center" vertical="center"/>
    </xf>
    <xf numFmtId="166" fontId="49" fillId="0" borderId="59" xfId="0" applyNumberFormat="1" applyFont="1" applyBorder="1" applyAlignment="1">
      <alignment horizontal="center" vertical="center"/>
    </xf>
    <xf numFmtId="0" fontId="49" fillId="0" borderId="59" xfId="0" applyFont="1" applyBorder="1" applyAlignment="1">
      <alignment horizontal="center" vertical="center"/>
    </xf>
    <xf numFmtId="0" fontId="52" fillId="0" borderId="59" xfId="0" applyFont="1" applyBorder="1" applyAlignment="1">
      <alignment vertical="center"/>
    </xf>
    <xf numFmtId="0" fontId="129" fillId="0" borderId="76" xfId="0" applyFont="1" applyBorder="1" applyAlignment="1">
      <alignment horizontal="right" vertical="center"/>
    </xf>
    <xf numFmtId="0" fontId="147" fillId="31" borderId="98" xfId="0" applyFont="1" applyFill="1" applyBorder="1" applyAlignment="1">
      <alignment horizontal="center" vertical="center"/>
    </xf>
    <xf numFmtId="0" fontId="182" fillId="14" borderId="23" xfId="0" applyFont="1" applyFill="1" applyBorder="1" applyAlignment="1">
      <alignment horizontal="center" vertical="center"/>
    </xf>
    <xf numFmtId="0" fontId="147" fillId="30" borderId="93" xfId="0" applyFont="1" applyFill="1" applyBorder="1" applyAlignment="1">
      <alignment horizontal="center" vertical="center"/>
    </xf>
    <xf numFmtId="0" fontId="175" fillId="14" borderId="0" xfId="0" applyFont="1" applyFill="1" applyAlignment="1">
      <alignment vertical="center"/>
    </xf>
    <xf numFmtId="0" fontId="147" fillId="18" borderId="93" xfId="0" applyFont="1" applyFill="1" applyBorder="1" applyAlignment="1">
      <alignment horizontal="center" vertical="center"/>
    </xf>
    <xf numFmtId="0" fontId="147" fillId="42" borderId="0" xfId="0" applyFont="1" applyFill="1" applyAlignment="1">
      <alignment horizontal="center" vertical="center"/>
    </xf>
    <xf numFmtId="0" fontId="147" fillId="18" borderId="0" xfId="0" applyFont="1" applyFill="1" applyAlignment="1">
      <alignment horizontal="center" vertical="center"/>
    </xf>
    <xf numFmtId="0" fontId="182" fillId="0" borderId="0" xfId="0" applyFont="1"/>
    <xf numFmtId="0" fontId="72" fillId="0" borderId="102" xfId="0" applyFont="1" applyBorder="1"/>
    <xf numFmtId="0" fontId="72" fillId="0" borderId="103" xfId="0" applyFont="1" applyBorder="1"/>
    <xf numFmtId="0" fontId="72" fillId="0" borderId="104" xfId="0" applyFont="1" applyBorder="1"/>
    <xf numFmtId="0" fontId="72" fillId="0" borderId="105" xfId="0" applyFont="1" applyBorder="1"/>
    <xf numFmtId="0" fontId="77" fillId="36" borderId="106" xfId="0" applyFont="1" applyFill="1" applyBorder="1" applyAlignment="1">
      <alignment horizontal="left" vertical="center"/>
    </xf>
    <xf numFmtId="0" fontId="147" fillId="30" borderId="107" xfId="0" applyFont="1" applyFill="1" applyBorder="1" applyAlignment="1">
      <alignment horizontal="center" vertical="center"/>
    </xf>
    <xf numFmtId="0" fontId="182" fillId="0" borderId="0" xfId="0" applyFont="1" applyAlignment="1">
      <alignment horizontal="center" vertical="center"/>
    </xf>
    <xf numFmtId="0" fontId="172" fillId="14" borderId="0" xfId="0" applyFont="1" applyFill="1" applyAlignment="1">
      <alignment horizontal="center" vertical="center"/>
    </xf>
    <xf numFmtId="0" fontId="172" fillId="0" borderId="0" xfId="0" applyFont="1" applyAlignment="1">
      <alignment horizontal="center" vertical="center"/>
    </xf>
    <xf numFmtId="0" fontId="180" fillId="0" borderId="0" xfId="0" applyFont="1" applyAlignment="1">
      <alignment horizontal="center"/>
    </xf>
    <xf numFmtId="9" fontId="52" fillId="0" borderId="63" xfId="1" applyFont="1" applyBorder="1" applyAlignment="1">
      <alignment horizontal="center" vertical="center"/>
    </xf>
    <xf numFmtId="0" fontId="184" fillId="36" borderId="52" xfId="0" applyFont="1" applyFill="1" applyBorder="1" applyAlignment="1">
      <alignment horizontal="left" vertical="center"/>
    </xf>
    <xf numFmtId="3" fontId="184" fillId="0" borderId="49" xfId="0" applyNumberFormat="1" applyFont="1" applyBorder="1" applyAlignment="1">
      <alignment horizontal="center" vertical="center"/>
    </xf>
    <xf numFmtId="0" fontId="71" fillId="16" borderId="49" xfId="0" applyFont="1" applyFill="1" applyBorder="1" applyAlignment="1">
      <alignment horizontal="right" vertical="center"/>
    </xf>
    <xf numFmtId="0" fontId="182" fillId="39" borderId="0" xfId="0" applyFont="1" applyFill="1" applyAlignment="1">
      <alignment vertical="center"/>
    </xf>
    <xf numFmtId="0" fontId="27" fillId="39" borderId="0" xfId="0" applyFont="1" applyFill="1" applyAlignment="1">
      <alignment vertical="center"/>
    </xf>
    <xf numFmtId="0" fontId="176" fillId="39" borderId="0" xfId="0" applyFont="1" applyFill="1" applyAlignment="1">
      <alignment vertical="center"/>
    </xf>
    <xf numFmtId="2" fontId="131" fillId="0" borderId="49" xfId="0" applyNumberFormat="1" applyFont="1" applyBorder="1" applyAlignment="1">
      <alignment horizontal="center" vertical="center"/>
    </xf>
    <xf numFmtId="167" fontId="182" fillId="0" borderId="0" xfId="0" applyNumberFormat="1" applyFont="1" applyAlignment="1">
      <alignment horizontal="center" vertical="center"/>
    </xf>
    <xf numFmtId="0" fontId="176" fillId="0" borderId="0" xfId="0" applyFont="1" applyAlignment="1">
      <alignment horizontal="center" vertical="center"/>
    </xf>
    <xf numFmtId="9" fontId="176" fillId="0" borderId="0" xfId="0" applyNumberFormat="1" applyFont="1" applyAlignment="1">
      <alignment horizontal="center" vertical="center"/>
    </xf>
    <xf numFmtId="0" fontId="38" fillId="6" borderId="23" xfId="0" applyFont="1" applyFill="1" applyBorder="1" applyAlignment="1">
      <alignment horizontal="center" vertical="center"/>
    </xf>
    <xf numFmtId="165" fontId="38" fillId="6" borderId="23" xfId="0" applyNumberFormat="1" applyFont="1" applyFill="1" applyBorder="1" applyAlignment="1">
      <alignment horizontal="center" vertical="center"/>
    </xf>
    <xf numFmtId="0" fontId="186" fillId="0" borderId="0" xfId="0" applyFont="1"/>
    <xf numFmtId="0" fontId="186" fillId="0" borderId="0" xfId="0" applyFont="1" applyAlignment="1">
      <alignment vertical="center"/>
    </xf>
    <xf numFmtId="3" fontId="187" fillId="18" borderId="30" xfId="0" applyNumberFormat="1" applyFont="1" applyFill="1" applyBorder="1" applyAlignment="1">
      <alignment horizontal="center" vertical="center"/>
    </xf>
    <xf numFmtId="0" fontId="187" fillId="0" borderId="0" xfId="0" applyFont="1" applyAlignment="1">
      <alignment horizontal="center" vertical="center"/>
    </xf>
    <xf numFmtId="0" fontId="187" fillId="0" borderId="0" xfId="0" applyFont="1" applyAlignment="1">
      <alignment vertical="center"/>
    </xf>
    <xf numFmtId="0" fontId="189" fillId="0" borderId="0" xfId="0" applyFont="1"/>
    <xf numFmtId="178" fontId="187" fillId="18" borderId="30" xfId="0" applyNumberFormat="1" applyFont="1" applyFill="1" applyBorder="1" applyAlignment="1">
      <alignment horizontal="center" vertical="center"/>
    </xf>
    <xf numFmtId="0" fontId="189" fillId="14" borderId="0" xfId="0" applyFont="1" applyFill="1" applyAlignment="1">
      <alignment vertical="center"/>
    </xf>
    <xf numFmtId="9" fontId="189" fillId="0" borderId="0" xfId="0" applyNumberFormat="1" applyFont="1" applyAlignment="1">
      <alignment horizontal="center" vertical="center"/>
    </xf>
    <xf numFmtId="0" fontId="189" fillId="0" borderId="0" xfId="0" applyFont="1" applyAlignment="1">
      <alignment vertical="center"/>
    </xf>
    <xf numFmtId="0" fontId="189" fillId="9" borderId="5" xfId="0" applyFont="1" applyFill="1" applyBorder="1" applyAlignment="1">
      <alignment horizontal="left" vertical="center"/>
    </xf>
    <xf numFmtId="0" fontId="189" fillId="9" borderId="5" xfId="0" applyFont="1" applyFill="1" applyBorder="1" applyAlignment="1">
      <alignment horizontal="center" vertical="center"/>
    </xf>
    <xf numFmtId="0" fontId="186" fillId="0" borderId="0" xfId="0" applyFont="1" applyAlignment="1">
      <alignment horizontal="center" vertical="center"/>
    </xf>
    <xf numFmtId="0" fontId="189" fillId="0" borderId="0" xfId="0" applyFont="1" applyAlignment="1">
      <alignment horizontal="center" vertical="center"/>
    </xf>
    <xf numFmtId="3" fontId="182" fillId="9" borderId="5" xfId="0" applyNumberFormat="1" applyFont="1" applyFill="1" applyBorder="1" applyAlignment="1">
      <alignment horizontal="center" vertical="center"/>
    </xf>
    <xf numFmtId="1" fontId="182" fillId="9" borderId="5" xfId="0" applyNumberFormat="1" applyFont="1" applyFill="1" applyBorder="1" applyAlignment="1">
      <alignment horizontal="center" vertical="center"/>
    </xf>
    <xf numFmtId="178" fontId="186" fillId="18" borderId="30" xfId="0" applyNumberFormat="1" applyFont="1" applyFill="1" applyBorder="1" applyAlignment="1">
      <alignment horizontal="center" vertical="center"/>
    </xf>
    <xf numFmtId="0" fontId="90" fillId="14" borderId="0" xfId="0" applyFont="1" applyFill="1" applyAlignment="1">
      <alignment vertical="center"/>
    </xf>
    <xf numFmtId="9" fontId="71" fillId="0" borderId="60" xfId="1" applyFont="1" applyBorder="1" applyAlignment="1">
      <alignment horizontal="center" vertical="center"/>
    </xf>
    <xf numFmtId="9" fontId="72" fillId="0" borderId="60" xfId="1" applyFont="1" applyBorder="1" applyAlignment="1">
      <alignment vertical="center"/>
    </xf>
    <xf numFmtId="0" fontId="39" fillId="14" borderId="23" xfId="0" applyFont="1" applyFill="1" applyBorder="1" applyAlignment="1">
      <alignment vertical="center"/>
    </xf>
    <xf numFmtId="0" fontId="187" fillId="14" borderId="23" xfId="0" applyFont="1" applyFill="1" applyBorder="1" applyAlignment="1">
      <alignment vertical="center"/>
    </xf>
    <xf numFmtId="0" fontId="186" fillId="14" borderId="23" xfId="0" applyFont="1" applyFill="1" applyBorder="1" applyAlignment="1">
      <alignment vertical="center"/>
    </xf>
    <xf numFmtId="164" fontId="39" fillId="14" borderId="23" xfId="0" applyNumberFormat="1" applyFont="1" applyFill="1" applyBorder="1" applyAlignment="1">
      <alignment horizontal="center" vertical="center"/>
    </xf>
    <xf numFmtId="164" fontId="38" fillId="14" borderId="23" xfId="0" applyNumberFormat="1" applyFont="1" applyFill="1" applyBorder="1" applyAlignment="1">
      <alignment horizontal="center" vertical="center"/>
    </xf>
    <xf numFmtId="0" fontId="39" fillId="14" borderId="23" xfId="0" applyFont="1" applyFill="1" applyBorder="1" applyAlignment="1">
      <alignment horizontal="center" vertical="center"/>
    </xf>
    <xf numFmtId="164" fontId="187" fillId="14" borderId="23" xfId="0" applyNumberFormat="1" applyFont="1" applyFill="1" applyBorder="1" applyAlignment="1">
      <alignment horizontal="center" vertical="center"/>
    </xf>
    <xf numFmtId="0" fontId="39" fillId="6" borderId="23" xfId="0" applyFont="1" applyFill="1" applyBorder="1" applyAlignment="1">
      <alignment horizontal="center" vertical="center"/>
    </xf>
    <xf numFmtId="0" fontId="39" fillId="0" borderId="23" xfId="0" applyFont="1" applyBorder="1" applyAlignment="1">
      <alignment horizontal="center" vertical="center"/>
    </xf>
    <xf numFmtId="0" fontId="187" fillId="0" borderId="23" xfId="0" applyFont="1" applyBorder="1" applyAlignment="1">
      <alignment horizontal="center" vertical="center"/>
    </xf>
    <xf numFmtId="0" fontId="186" fillId="0" borderId="23" xfId="0" applyFont="1" applyBorder="1" applyAlignment="1">
      <alignment horizontal="center" vertical="center"/>
    </xf>
    <xf numFmtId="0" fontId="40" fillId="0" borderId="57" xfId="0" applyFont="1" applyBorder="1" applyAlignment="1">
      <alignment horizontal="left" vertical="center"/>
    </xf>
    <xf numFmtId="0" fontId="38" fillId="0" borderId="57" xfId="0" applyFont="1" applyBorder="1" applyAlignment="1">
      <alignment horizontal="left" vertical="center"/>
    </xf>
    <xf numFmtId="0" fontId="188" fillId="31" borderId="57" xfId="0" applyFont="1" applyFill="1" applyBorder="1" applyAlignment="1">
      <alignment horizontal="right" vertical="center"/>
    </xf>
    <xf numFmtId="0" fontId="183" fillId="31" borderId="57" xfId="0" applyFont="1" applyFill="1" applyBorder="1" applyAlignment="1">
      <alignment horizontal="left" vertical="center"/>
    </xf>
    <xf numFmtId="0" fontId="183" fillId="31" borderId="58" xfId="0" applyFont="1" applyFill="1" applyBorder="1" applyAlignment="1">
      <alignment horizontal="left" vertical="center"/>
    </xf>
    <xf numFmtId="0" fontId="47" fillId="0" borderId="59" xfId="0" applyFont="1" applyBorder="1" applyAlignment="1">
      <alignment horizontal="center" vertical="center"/>
    </xf>
    <xf numFmtId="9" fontId="47" fillId="0" borderId="60" xfId="0" applyNumberFormat="1" applyFont="1" applyBorder="1" applyAlignment="1">
      <alignment horizontal="center" vertical="center"/>
    </xf>
    <xf numFmtId="166" fontId="47" fillId="0" borderId="59" xfId="0" applyNumberFormat="1" applyFont="1" applyBorder="1" applyAlignment="1">
      <alignment horizontal="center" vertical="center"/>
    </xf>
    <xf numFmtId="166" fontId="47" fillId="0" borderId="60" xfId="0" applyNumberFormat="1" applyFont="1" applyBorder="1" applyAlignment="1">
      <alignment horizontal="center" vertical="center"/>
    </xf>
    <xf numFmtId="3" fontId="47" fillId="0" borderId="59" xfId="0" applyNumberFormat="1" applyFont="1" applyBorder="1" applyAlignment="1">
      <alignment horizontal="center" vertical="center"/>
    </xf>
    <xf numFmtId="3" fontId="47" fillId="0" borderId="60" xfId="0" applyNumberFormat="1" applyFont="1" applyBorder="1" applyAlignment="1">
      <alignment horizontal="center" vertical="center"/>
    </xf>
    <xf numFmtId="168" fontId="47" fillId="0" borderId="60" xfId="0" applyNumberFormat="1" applyFont="1" applyBorder="1" applyAlignment="1">
      <alignment horizontal="center" vertical="center"/>
    </xf>
    <xf numFmtId="9" fontId="47" fillId="0" borderId="59" xfId="0" applyNumberFormat="1" applyFont="1" applyBorder="1" applyAlignment="1">
      <alignment horizontal="center" vertical="center"/>
    </xf>
    <xf numFmtId="0" fontId="47" fillId="0" borderId="60" xfId="0" applyFont="1" applyBorder="1" applyAlignment="1">
      <alignment horizontal="center" vertical="center"/>
    </xf>
    <xf numFmtId="165" fontId="47" fillId="0" borderId="59" xfId="0" applyNumberFormat="1" applyFont="1" applyBorder="1" applyAlignment="1">
      <alignment horizontal="center" vertical="center"/>
    </xf>
    <xf numFmtId="164" fontId="47" fillId="0" borderId="60" xfId="0" applyNumberFormat="1" applyFont="1" applyBorder="1" applyAlignment="1">
      <alignment horizontal="center" vertical="center"/>
    </xf>
    <xf numFmtId="9" fontId="47" fillId="0" borderId="60" xfId="1" applyFont="1" applyBorder="1" applyAlignment="1">
      <alignment horizontal="center" vertical="center"/>
    </xf>
    <xf numFmtId="9" fontId="27" fillId="0" borderId="60" xfId="0" applyNumberFormat="1" applyFont="1" applyBorder="1" applyAlignment="1">
      <alignment horizontal="center" vertical="center"/>
    </xf>
    <xf numFmtId="0" fontId="176" fillId="0" borderId="59" xfId="0" applyFont="1" applyBorder="1" applyAlignment="1">
      <alignment horizontal="center" vertical="center"/>
    </xf>
    <xf numFmtId="0" fontId="176" fillId="0" borderId="60" xfId="0" applyFont="1" applyBorder="1" applyAlignment="1">
      <alignment horizontal="center" vertical="center"/>
    </xf>
    <xf numFmtId="0" fontId="186" fillId="0" borderId="59" xfId="0" applyFont="1" applyBorder="1" applyAlignment="1">
      <alignment vertical="center"/>
    </xf>
    <xf numFmtId="0" fontId="186" fillId="0" borderId="60" xfId="0" applyFont="1" applyBorder="1" applyAlignment="1">
      <alignment vertical="center"/>
    </xf>
    <xf numFmtId="0" fontId="186" fillId="0" borderId="61" xfId="0" applyFont="1" applyBorder="1" applyAlignment="1">
      <alignment vertical="center"/>
    </xf>
    <xf numFmtId="177" fontId="186" fillId="18" borderId="62" xfId="0" applyNumberFormat="1" applyFont="1" applyFill="1" applyBorder="1" applyAlignment="1">
      <alignment horizontal="center" vertical="center"/>
    </xf>
    <xf numFmtId="0" fontId="186" fillId="0" borderId="63" xfId="0" applyFont="1" applyBorder="1" applyAlignment="1">
      <alignment vertical="center"/>
    </xf>
    <xf numFmtId="164" fontId="47" fillId="0" borderId="59" xfId="0" applyNumberFormat="1" applyFont="1" applyBorder="1" applyAlignment="1">
      <alignment horizontal="center" vertical="center"/>
    </xf>
    <xf numFmtId="9" fontId="47" fillId="0" borderId="59" xfId="1" applyFont="1" applyBorder="1" applyAlignment="1">
      <alignment horizontal="center" vertical="center"/>
    </xf>
    <xf numFmtId="3" fontId="182" fillId="0" borderId="30" xfId="0" applyNumberFormat="1" applyFont="1" applyBorder="1" applyAlignment="1">
      <alignment horizontal="center"/>
    </xf>
    <xf numFmtId="178" fontId="182" fillId="0" borderId="30" xfId="0" applyNumberFormat="1" applyFont="1" applyBorder="1" applyAlignment="1">
      <alignment horizontal="center" vertical="center"/>
    </xf>
    <xf numFmtId="178" fontId="27" fillId="0" borderId="30" xfId="0" applyNumberFormat="1" applyFont="1" applyBorder="1" applyAlignment="1">
      <alignment horizontal="center" vertical="center"/>
    </xf>
    <xf numFmtId="0" fontId="176" fillId="14" borderId="23" xfId="0" applyFont="1" applyFill="1" applyBorder="1"/>
    <xf numFmtId="0" fontId="9" fillId="14" borderId="23" xfId="0" applyFont="1" applyFill="1" applyBorder="1"/>
    <xf numFmtId="0" fontId="182" fillId="14" borderId="23" xfId="0" applyFont="1" applyFill="1" applyBorder="1"/>
    <xf numFmtId="0" fontId="27" fillId="14" borderId="23" xfId="0" applyFont="1" applyFill="1" applyBorder="1"/>
    <xf numFmtId="0" fontId="38" fillId="14" borderId="23" xfId="0" applyFont="1" applyFill="1" applyBorder="1"/>
    <xf numFmtId="0" fontId="39" fillId="14" borderId="23" xfId="0" applyFont="1" applyFill="1" applyBorder="1"/>
    <xf numFmtId="0" fontId="39" fillId="14" borderId="23" xfId="0" applyFont="1" applyFill="1" applyBorder="1" applyAlignment="1">
      <alignment horizontal="center"/>
    </xf>
    <xf numFmtId="164" fontId="38" fillId="14" borderId="23" xfId="0" applyNumberFormat="1" applyFont="1" applyFill="1" applyBorder="1" applyAlignment="1">
      <alignment horizontal="center"/>
    </xf>
    <xf numFmtId="0" fontId="38" fillId="14" borderId="23" xfId="0" applyFont="1" applyFill="1" applyBorder="1" applyAlignment="1">
      <alignment horizontal="center"/>
    </xf>
    <xf numFmtId="164" fontId="39" fillId="14" borderId="23" xfId="0" applyNumberFormat="1" applyFont="1" applyFill="1" applyBorder="1" applyAlignment="1">
      <alignment horizontal="center"/>
    </xf>
    <xf numFmtId="164" fontId="182" fillId="14" borderId="23" xfId="0" applyNumberFormat="1" applyFont="1" applyFill="1" applyBorder="1" applyAlignment="1">
      <alignment horizontal="center"/>
    </xf>
    <xf numFmtId="0" fontId="176" fillId="0" borderId="23" xfId="0" applyFont="1" applyBorder="1"/>
    <xf numFmtId="0" fontId="0" fillId="0" borderId="23" xfId="0" applyBorder="1"/>
    <xf numFmtId="0" fontId="9" fillId="0" borderId="23" xfId="0" applyFont="1" applyBorder="1"/>
    <xf numFmtId="0" fontId="182" fillId="0" borderId="23" xfId="0" applyFont="1" applyBorder="1"/>
    <xf numFmtId="0" fontId="27" fillId="0" borderId="23" xfId="0" applyFont="1" applyBorder="1"/>
    <xf numFmtId="0" fontId="40" fillId="0" borderId="57" xfId="0" applyFont="1" applyBorder="1" applyAlignment="1">
      <alignment horizontal="left"/>
    </xf>
    <xf numFmtId="0" fontId="147" fillId="31" borderId="57" xfId="0" applyFont="1" applyFill="1" applyBorder="1" applyAlignment="1">
      <alignment horizontal="right"/>
    </xf>
    <xf numFmtId="0" fontId="38" fillId="0" borderId="59" xfId="0" applyFont="1" applyBorder="1"/>
    <xf numFmtId="0" fontId="38" fillId="0" borderId="60" xfId="0" applyFont="1" applyBorder="1"/>
    <xf numFmtId="3" fontId="38" fillId="0" borderId="59" xfId="0" applyNumberFormat="1" applyFont="1" applyBorder="1" applyAlignment="1">
      <alignment horizontal="center"/>
    </xf>
    <xf numFmtId="3" fontId="38" fillId="0" borderId="60" xfId="0" applyNumberFormat="1" applyFont="1" applyBorder="1" applyAlignment="1">
      <alignment horizontal="center"/>
    </xf>
    <xf numFmtId="0" fontId="182" fillId="0" borderId="59" xfId="0" applyFont="1" applyBorder="1"/>
    <xf numFmtId="164" fontId="182" fillId="0" borderId="60" xfId="0" applyNumberFormat="1" applyFont="1" applyBorder="1" applyAlignment="1">
      <alignment horizontal="center"/>
    </xf>
    <xf numFmtId="9" fontId="27" fillId="0" borderId="59" xfId="0" applyNumberFormat="1" applyFont="1" applyBorder="1" applyAlignment="1">
      <alignment horizontal="center"/>
    </xf>
    <xf numFmtId="0" fontId="182" fillId="0" borderId="60" xfId="0" applyFont="1" applyBorder="1"/>
    <xf numFmtId="0" fontId="27" fillId="0" borderId="59" xfId="0" applyFont="1" applyBorder="1" applyAlignment="1">
      <alignment vertical="center"/>
    </xf>
    <xf numFmtId="0" fontId="27" fillId="0" borderId="60" xfId="0" applyFont="1" applyBorder="1" applyAlignment="1">
      <alignment vertical="center"/>
    </xf>
    <xf numFmtId="0" fontId="27" fillId="0" borderId="61" xfId="0" applyFont="1" applyBorder="1" applyAlignment="1">
      <alignment vertical="center"/>
    </xf>
    <xf numFmtId="178" fontId="27" fillId="0" borderId="62" xfId="0" applyNumberFormat="1" applyFont="1" applyBorder="1" applyAlignment="1">
      <alignment horizontal="center" vertical="center"/>
    </xf>
    <xf numFmtId="0" fontId="27" fillId="0" borderId="63" xfId="0" applyFont="1" applyBorder="1" applyAlignment="1">
      <alignment vertical="center"/>
    </xf>
    <xf numFmtId="164" fontId="182" fillId="0" borderId="59" xfId="0" applyNumberFormat="1" applyFont="1" applyBorder="1" applyAlignment="1">
      <alignment horizontal="center"/>
    </xf>
    <xf numFmtId="0" fontId="38" fillId="0" borderId="108" xfId="0" applyFont="1" applyBorder="1"/>
    <xf numFmtId="3" fontId="38" fillId="0" borderId="109" xfId="0" applyNumberFormat="1" applyFont="1" applyBorder="1" applyAlignment="1">
      <alignment horizontal="center"/>
    </xf>
    <xf numFmtId="0" fontId="182" fillId="0" borderId="109" xfId="0" applyFont="1" applyBorder="1"/>
    <xf numFmtId="0" fontId="27" fillId="0" borderId="109" xfId="0" applyFont="1" applyBorder="1"/>
    <xf numFmtId="0" fontId="27" fillId="0" borderId="63" xfId="0" applyFont="1" applyBorder="1"/>
    <xf numFmtId="0" fontId="38" fillId="0" borderId="76" xfId="0" applyFont="1" applyBorder="1" applyAlignment="1">
      <alignment horizontal="right"/>
    </xf>
    <xf numFmtId="0" fontId="38" fillId="0" borderId="78" xfId="0" applyFont="1" applyBorder="1"/>
    <xf numFmtId="0" fontId="38" fillId="0" borderId="34" xfId="0" applyFont="1" applyBorder="1"/>
    <xf numFmtId="0" fontId="38" fillId="0" borderId="79" xfId="0" applyFont="1" applyBorder="1"/>
    <xf numFmtId="0" fontId="38" fillId="0" borderId="110" xfId="0" applyFont="1" applyBorder="1"/>
    <xf numFmtId="0" fontId="162"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8" fillId="0" borderId="44" xfId="0" applyFont="1" applyBorder="1" applyAlignment="1">
      <alignment horizontal="right"/>
    </xf>
    <xf numFmtId="0" fontId="38" fillId="0" borderId="44" xfId="0" applyFont="1" applyBorder="1"/>
    <xf numFmtId="0" fontId="38" fillId="0" borderId="41" xfId="0" applyFont="1" applyBorder="1"/>
    <xf numFmtId="0" fontId="167" fillId="31" borderId="56" xfId="0" applyFont="1" applyFill="1" applyBorder="1" applyAlignment="1">
      <alignment horizontal="center" vertical="center"/>
    </xf>
    <xf numFmtId="0" fontId="39" fillId="0" borderId="57" xfId="0" applyFont="1" applyBorder="1" applyAlignment="1">
      <alignment horizontal="left" vertical="center"/>
    </xf>
    <xf numFmtId="0" fontId="121" fillId="0" borderId="57" xfId="0" applyFont="1" applyBorder="1" applyAlignment="1">
      <alignment horizontal="left" vertical="center"/>
    </xf>
    <xf numFmtId="0" fontId="172" fillId="16" borderId="57" xfId="0" applyFont="1" applyFill="1" applyBorder="1" applyAlignment="1">
      <alignment horizontal="right" vertical="center"/>
    </xf>
    <xf numFmtId="0" fontId="107" fillId="0" borderId="58" xfId="0" applyFont="1" applyBorder="1" applyAlignment="1">
      <alignment horizontal="left" vertical="center"/>
    </xf>
    <xf numFmtId="0" fontId="38" fillId="0" borderId="59" xfId="0" applyFont="1" applyBorder="1" applyAlignment="1">
      <alignment vertical="center"/>
    </xf>
    <xf numFmtId="0" fontId="38" fillId="0" borderId="60" xfId="0" applyFont="1" applyBorder="1" applyAlignment="1">
      <alignment vertical="center"/>
    </xf>
    <xf numFmtId="167" fontId="39" fillId="0" borderId="59" xfId="0" applyNumberFormat="1" applyFont="1" applyBorder="1" applyAlignment="1">
      <alignment horizontal="center" vertical="center"/>
    </xf>
    <xf numFmtId="168" fontId="39" fillId="0" borderId="60" xfId="0" applyNumberFormat="1" applyFont="1" applyBorder="1" applyAlignment="1">
      <alignment horizontal="center" vertical="center"/>
    </xf>
    <xf numFmtId="4" fontId="39" fillId="0" borderId="59" xfId="0" applyNumberFormat="1" applyFont="1" applyBorder="1" applyAlignment="1">
      <alignment horizontal="center" vertical="center"/>
    </xf>
    <xf numFmtId="4" fontId="39" fillId="0" borderId="60" xfId="0" applyNumberFormat="1" applyFont="1" applyBorder="1" applyAlignment="1">
      <alignment horizontal="center" vertical="center"/>
    </xf>
    <xf numFmtId="0" fontId="39" fillId="0" borderId="60" xfId="0" applyFont="1" applyBorder="1" applyAlignment="1">
      <alignment horizontal="center" vertical="center"/>
    </xf>
    <xf numFmtId="0" fontId="38" fillId="0" borderId="59" xfId="0" applyFont="1" applyBorder="1" applyAlignment="1">
      <alignment horizontal="center" vertical="center"/>
    </xf>
    <xf numFmtId="0" fontId="38" fillId="0" borderId="60" xfId="0" applyFont="1" applyBorder="1" applyAlignment="1">
      <alignment horizontal="center" vertical="center"/>
    </xf>
    <xf numFmtId="167" fontId="39" fillId="0" borderId="61" xfId="0" applyNumberFormat="1" applyFont="1" applyBorder="1" applyAlignment="1">
      <alignment horizontal="center" vertical="center"/>
    </xf>
    <xf numFmtId="167" fontId="39" fillId="0" borderId="62" xfId="0" applyNumberFormat="1" applyFont="1" applyBorder="1" applyAlignment="1">
      <alignment horizontal="center" vertical="center"/>
    </xf>
    <xf numFmtId="168" fontId="39" fillId="0" borderId="63" xfId="0" applyNumberFormat="1" applyFont="1" applyBorder="1" applyAlignment="1">
      <alignment horizontal="center" vertical="center"/>
    </xf>
    <xf numFmtId="0" fontId="38" fillId="0" borderId="108" xfId="0" applyFont="1" applyBorder="1" applyAlignment="1">
      <alignment vertical="center"/>
    </xf>
    <xf numFmtId="168" fontId="39" fillId="0" borderId="108" xfId="0" applyNumberFormat="1" applyFont="1" applyBorder="1" applyAlignment="1">
      <alignment horizontal="center" vertical="center"/>
    </xf>
    <xf numFmtId="4" fontId="39" fillId="0" borderId="108" xfId="0" applyNumberFormat="1" applyFont="1" applyBorder="1" applyAlignment="1">
      <alignment horizontal="center" vertical="center"/>
    </xf>
    <xf numFmtId="168" fontId="39" fillId="0" borderId="111" xfId="0" applyNumberFormat="1" applyFont="1" applyBorder="1" applyAlignment="1">
      <alignment horizontal="center" vertical="center"/>
    </xf>
    <xf numFmtId="0" fontId="172" fillId="14" borderId="23" xfId="0" applyFont="1" applyFill="1" applyBorder="1"/>
    <xf numFmtId="0" fontId="172" fillId="14" borderId="23" xfId="0" applyFont="1" applyFill="1" applyBorder="1" applyAlignment="1">
      <alignment vertical="center"/>
    </xf>
    <xf numFmtId="0" fontId="172" fillId="0" borderId="59" xfId="0" applyFont="1" applyBorder="1" applyAlignment="1">
      <alignment horizontal="center" vertical="center"/>
    </xf>
    <xf numFmtId="167" fontId="172" fillId="0" borderId="30" xfId="0" applyNumberFormat="1" applyFont="1" applyBorder="1" applyAlignment="1">
      <alignment horizontal="center" vertical="center"/>
    </xf>
    <xf numFmtId="0" fontId="172" fillId="0" borderId="60" xfId="0" applyFont="1" applyBorder="1" applyAlignment="1">
      <alignment horizontal="center" vertical="center"/>
    </xf>
    <xf numFmtId="0" fontId="172" fillId="0" borderId="59" xfId="0" applyFont="1" applyBorder="1" applyAlignment="1">
      <alignment vertical="center"/>
    </xf>
    <xf numFmtId="0" fontId="172" fillId="0" borderId="60" xfId="0" applyFont="1" applyBorder="1" applyAlignment="1">
      <alignment vertical="center"/>
    </xf>
    <xf numFmtId="0" fontId="172" fillId="0" borderId="108" xfId="0" applyFont="1" applyBorder="1" applyAlignment="1">
      <alignment vertical="center"/>
    </xf>
    <xf numFmtId="168" fontId="172" fillId="0" borderId="23" xfId="0" applyNumberFormat="1" applyFont="1" applyBorder="1" applyAlignment="1">
      <alignment horizontal="center" vertical="center"/>
    </xf>
    <xf numFmtId="168" fontId="172" fillId="0" borderId="0" xfId="0" applyNumberFormat="1" applyFont="1" applyAlignment="1">
      <alignment horizontal="center" vertical="center"/>
    </xf>
    <xf numFmtId="0" fontId="172" fillId="0" borderId="0" xfId="0" applyFont="1"/>
    <xf numFmtId="0" fontId="180" fillId="0" borderId="0" xfId="0" applyFont="1"/>
    <xf numFmtId="0" fontId="63" fillId="0" borderId="59" xfId="0" applyFont="1" applyBorder="1" applyAlignment="1">
      <alignment horizontal="left" vertical="center"/>
    </xf>
    <xf numFmtId="0" fontId="121" fillId="0" borderId="114" xfId="0" applyFont="1" applyBorder="1" applyAlignment="1" applyProtection="1">
      <alignment horizontal="left" vertical="center"/>
      <protection locked="0"/>
    </xf>
    <xf numFmtId="9" fontId="40" fillId="0" borderId="23" xfId="0" applyNumberFormat="1" applyFont="1" applyBorder="1" applyAlignment="1" applyProtection="1">
      <alignment horizontal="center" vertical="center"/>
      <protection locked="0"/>
    </xf>
    <xf numFmtId="9" fontId="40" fillId="0" borderId="115" xfId="0" applyNumberFormat="1" applyFont="1" applyBorder="1" applyAlignment="1" applyProtection="1">
      <alignment horizontal="center" vertical="center"/>
      <protection locked="0"/>
    </xf>
    <xf numFmtId="0" fontId="40" fillId="0" borderId="23" xfId="0" applyFont="1" applyBorder="1" applyAlignment="1" applyProtection="1">
      <alignment vertical="center"/>
      <protection locked="0"/>
    </xf>
    <xf numFmtId="1" fontId="121" fillId="0" borderId="116" xfId="0" applyNumberFormat="1" applyFont="1" applyBorder="1" applyAlignment="1" applyProtection="1">
      <alignment horizontal="center" vertical="center"/>
      <protection locked="0"/>
    </xf>
    <xf numFmtId="164" fontId="121" fillId="0" borderId="116" xfId="0" applyNumberFormat="1" applyFont="1" applyBorder="1" applyAlignment="1" applyProtection="1">
      <alignment horizontal="center" vertical="center"/>
      <protection locked="0"/>
    </xf>
    <xf numFmtId="9" fontId="121" fillId="0" borderId="116" xfId="0" applyNumberFormat="1" applyFont="1" applyBorder="1" applyAlignment="1" applyProtection="1">
      <alignment horizontal="center" vertical="center"/>
      <protection locked="0"/>
    </xf>
    <xf numFmtId="10" fontId="194" fillId="0" borderId="132" xfId="0" applyNumberFormat="1" applyFont="1" applyBorder="1" applyAlignment="1" applyProtection="1">
      <alignment horizontal="center" vertical="center"/>
      <protection locked="0"/>
    </xf>
    <xf numFmtId="10" fontId="194" fillId="0" borderId="108" xfId="0" applyNumberFormat="1" applyFont="1" applyBorder="1" applyAlignment="1" applyProtection="1">
      <alignment horizontal="center" vertical="center"/>
      <protection locked="0"/>
    </xf>
    <xf numFmtId="0" fontId="194" fillId="0" borderId="132" xfId="0" applyFont="1" applyBorder="1" applyAlignment="1" applyProtection="1">
      <alignment horizontal="center" vertical="center"/>
      <protection locked="0"/>
    </xf>
    <xf numFmtId="0" fontId="194" fillId="0" borderId="108" xfId="0" applyFont="1" applyBorder="1" applyAlignment="1" applyProtection="1">
      <alignment horizontal="center" vertical="center"/>
      <protection locked="0"/>
    </xf>
    <xf numFmtId="10" fontId="194" fillId="0" borderId="133" xfId="0" applyNumberFormat="1" applyFont="1" applyBorder="1" applyAlignment="1" applyProtection="1">
      <alignment horizontal="center" vertical="center"/>
      <protection locked="0"/>
    </xf>
    <xf numFmtId="10" fontId="194" fillId="0" borderId="111" xfId="0" applyNumberFormat="1" applyFont="1" applyBorder="1" applyAlignment="1" applyProtection="1">
      <alignment horizontal="center" vertical="center"/>
      <protection locked="0"/>
    </xf>
    <xf numFmtId="0" fontId="40" fillId="0" borderId="23" xfId="0" applyFont="1" applyBorder="1" applyAlignment="1">
      <alignment vertical="center"/>
    </xf>
    <xf numFmtId="0" fontId="40" fillId="0" borderId="23" xfId="0" applyFont="1" applyBorder="1" applyAlignment="1">
      <alignment horizontal="center" vertical="center"/>
    </xf>
    <xf numFmtId="3" fontId="43" fillId="0" borderId="30" xfId="0" applyNumberFormat="1" applyFont="1" applyBorder="1" applyAlignment="1">
      <alignment horizontal="center" vertical="center"/>
    </xf>
    <xf numFmtId="0" fontId="197" fillId="0" borderId="124" xfId="0" applyFont="1" applyBorder="1" applyAlignment="1" applyProtection="1">
      <alignment vertical="center"/>
      <protection locked="0"/>
    </xf>
    <xf numFmtId="0" fontId="198" fillId="0" borderId="23" xfId="0" applyFont="1" applyBorder="1" applyAlignment="1" applyProtection="1">
      <alignment vertical="center"/>
      <protection locked="0"/>
    </xf>
    <xf numFmtId="0" fontId="198" fillId="0" borderId="23" xfId="0" applyFont="1" applyBorder="1" applyAlignment="1" applyProtection="1">
      <alignment horizontal="center" vertical="center"/>
      <protection locked="0"/>
    </xf>
    <xf numFmtId="0" fontId="198" fillId="0" borderId="0" xfId="0" applyFont="1" applyAlignment="1" applyProtection="1">
      <alignment vertical="center"/>
      <protection locked="0"/>
    </xf>
    <xf numFmtId="0" fontId="198" fillId="0" borderId="0" xfId="0" applyFont="1" applyAlignment="1">
      <alignment vertical="center"/>
    </xf>
    <xf numFmtId="0" fontId="61" fillId="29" borderId="113" xfId="0" applyFont="1" applyFill="1" applyBorder="1" applyAlignment="1">
      <alignment horizontal="center" vertical="center"/>
    </xf>
    <xf numFmtId="0" fontId="36" fillId="0" borderId="0" xfId="0" applyFont="1" applyAlignment="1">
      <alignment vertical="center"/>
    </xf>
    <xf numFmtId="0" fontId="36" fillId="0" borderId="0" xfId="0" applyFont="1" applyAlignment="1" applyProtection="1">
      <alignment vertical="center"/>
      <protection locked="0"/>
    </xf>
    <xf numFmtId="170" fontId="36" fillId="0" borderId="0" xfId="0" applyNumberFormat="1" applyFont="1" applyAlignment="1" applyProtection="1">
      <alignment vertical="center"/>
      <protection locked="0"/>
    </xf>
    <xf numFmtId="0" fontId="36" fillId="0" borderId="0" xfId="0" applyFont="1" applyAlignment="1" applyProtection="1">
      <alignment horizontal="center" vertical="center"/>
      <protection locked="0"/>
    </xf>
    <xf numFmtId="0" fontId="199" fillId="0" borderId="0" xfId="0" applyFont="1" applyAlignment="1">
      <alignment vertical="center"/>
    </xf>
    <xf numFmtId="0" fontId="199" fillId="0" borderId="0" xfId="0" applyFont="1" applyAlignment="1" applyProtection="1">
      <alignment vertical="center"/>
      <protection locked="0"/>
    </xf>
    <xf numFmtId="0" fontId="199" fillId="0" borderId="0" xfId="0" applyFont="1" applyAlignment="1" applyProtection="1">
      <alignment horizontal="center" vertical="center"/>
      <protection locked="0"/>
    </xf>
    <xf numFmtId="166" fontId="48" fillId="0" borderId="30" xfId="0" applyNumberFormat="1" applyFont="1" applyBorder="1" applyAlignment="1">
      <alignment horizontal="center" vertical="center"/>
    </xf>
    <xf numFmtId="0" fontId="159" fillId="51" borderId="0" xfId="0" applyFont="1" applyFill="1" applyAlignment="1">
      <alignment horizontal="left" vertical="center"/>
    </xf>
    <xf numFmtId="166" fontId="63" fillId="0" borderId="30" xfId="1" applyNumberFormat="1" applyFont="1" applyFill="1" applyBorder="1" applyAlignment="1">
      <alignment horizontal="center" vertical="center"/>
    </xf>
    <xf numFmtId="166" fontId="63" fillId="0" borderId="34" xfId="0" applyNumberFormat="1" applyFont="1" applyBorder="1" applyAlignment="1">
      <alignment horizontal="center" vertical="center" wrapText="1"/>
    </xf>
    <xf numFmtId="0" fontId="162" fillId="29" borderId="112" xfId="0" applyFont="1" applyFill="1" applyBorder="1" applyAlignment="1">
      <alignment horizontal="left" vertical="center"/>
    </xf>
    <xf numFmtId="0" fontId="162" fillId="29" borderId="116" xfId="0" applyFont="1" applyFill="1" applyBorder="1" applyAlignment="1">
      <alignment horizontal="center" vertical="center"/>
    </xf>
    <xf numFmtId="167" fontId="162" fillId="29" borderId="113" xfId="0" applyNumberFormat="1" applyFont="1" applyFill="1" applyBorder="1" applyAlignment="1">
      <alignment horizontal="center" vertical="center"/>
    </xf>
    <xf numFmtId="167" fontId="63" fillId="0" borderId="60" xfId="0" applyNumberFormat="1" applyFont="1" applyBorder="1" applyAlignment="1">
      <alignment horizontal="center" vertical="center"/>
    </xf>
    <xf numFmtId="0" fontId="43" fillId="0" borderId="59" xfId="0" applyFont="1" applyBorder="1" applyAlignment="1">
      <alignment vertical="center"/>
    </xf>
    <xf numFmtId="167" fontId="43" fillId="0" borderId="60" xfId="0" applyNumberFormat="1" applyFont="1" applyBorder="1" applyAlignment="1">
      <alignment horizontal="center" vertical="center"/>
    </xf>
    <xf numFmtId="0" fontId="43" fillId="0" borderId="61" xfId="0" applyFont="1" applyBorder="1" applyAlignment="1">
      <alignment vertical="center"/>
    </xf>
    <xf numFmtId="0" fontId="43" fillId="0" borderId="62" xfId="0" applyFont="1" applyBorder="1" applyAlignment="1">
      <alignment horizontal="center" vertical="center"/>
    </xf>
    <xf numFmtId="0" fontId="165" fillId="16" borderId="112" xfId="0" applyFont="1" applyFill="1" applyBorder="1" applyAlignment="1">
      <alignment horizontal="left" vertical="center"/>
    </xf>
    <xf numFmtId="0" fontId="165" fillId="29" borderId="116" xfId="0" applyFont="1" applyFill="1" applyBorder="1" applyAlignment="1">
      <alignment horizontal="center" vertical="center"/>
    </xf>
    <xf numFmtId="167" fontId="165" fillId="29" borderId="113" xfId="0" applyNumberFormat="1" applyFont="1" applyFill="1" applyBorder="1" applyAlignment="1">
      <alignment horizontal="center" vertical="center"/>
    </xf>
    <xf numFmtId="0" fontId="145" fillId="16" borderId="134" xfId="0" applyFont="1" applyFill="1" applyBorder="1" applyAlignment="1">
      <alignment horizontal="left" vertical="center"/>
    </xf>
    <xf numFmtId="167" fontId="165" fillId="29" borderId="135" xfId="0" applyNumberFormat="1" applyFont="1" applyFill="1" applyBorder="1" applyAlignment="1">
      <alignment horizontal="center" vertical="center"/>
    </xf>
    <xf numFmtId="0" fontId="162" fillId="29" borderId="112" xfId="0" applyFont="1" applyFill="1" applyBorder="1" applyAlignment="1">
      <alignment horizontal="center" vertical="center"/>
    </xf>
    <xf numFmtId="0" fontId="180" fillId="14" borderId="39" xfId="0" applyFont="1" applyFill="1" applyBorder="1" applyAlignment="1">
      <alignment vertical="center"/>
    </xf>
    <xf numFmtId="0" fontId="180" fillId="14" borderId="44" xfId="0" applyFont="1" applyFill="1" applyBorder="1" applyAlignment="1">
      <alignment vertical="center"/>
    </xf>
    <xf numFmtId="0" fontId="26" fillId="29" borderId="112" xfId="0" applyFont="1" applyFill="1" applyBorder="1" applyAlignment="1">
      <alignment horizontal="center" vertical="center"/>
    </xf>
    <xf numFmtId="0" fontId="8" fillId="29" borderId="116" xfId="0" applyFont="1" applyFill="1" applyBorder="1" applyAlignment="1">
      <alignment horizontal="center" vertical="center"/>
    </xf>
    <xf numFmtId="0" fontId="8" fillId="29" borderId="113" xfId="0" applyFont="1" applyFill="1" applyBorder="1" applyAlignment="1">
      <alignment horizontal="center" vertical="center"/>
    </xf>
    <xf numFmtId="0" fontId="43" fillId="0" borderId="59" xfId="0" applyFont="1" applyBorder="1" applyAlignment="1">
      <alignment horizontal="left" vertical="center"/>
    </xf>
    <xf numFmtId="169" fontId="47" fillId="0" borderId="60" xfId="0" applyNumberFormat="1" applyFont="1" applyBorder="1" applyAlignment="1">
      <alignment horizontal="center" vertical="center"/>
    </xf>
    <xf numFmtId="0" fontId="43" fillId="0" borderId="61" xfId="0" applyFont="1" applyBorder="1" applyAlignment="1">
      <alignment horizontal="left" vertical="center"/>
    </xf>
    <xf numFmtId="0" fontId="61" fillId="29" borderId="112" xfId="0" applyFont="1" applyFill="1" applyBorder="1" applyAlignment="1">
      <alignment horizontal="center" vertical="center"/>
    </xf>
    <xf numFmtId="0" fontId="61" fillId="29" borderId="116" xfId="0" applyFont="1" applyFill="1" applyBorder="1" applyAlignment="1">
      <alignment horizontal="center" vertical="center"/>
    </xf>
    <xf numFmtId="1" fontId="43" fillId="0" borderId="60" xfId="0" applyNumberFormat="1" applyFont="1" applyBorder="1" applyAlignment="1">
      <alignment horizontal="center" vertical="center"/>
    </xf>
    <xf numFmtId="0" fontId="61" fillId="41" borderId="112" xfId="0" applyFont="1" applyFill="1" applyBorder="1" applyAlignment="1">
      <alignment horizontal="center" vertical="center"/>
    </xf>
    <xf numFmtId="0" fontId="61" fillId="41" borderId="116" xfId="0" applyFont="1" applyFill="1" applyBorder="1" applyAlignment="1">
      <alignment horizontal="center" vertical="center"/>
    </xf>
    <xf numFmtId="0" fontId="61" fillId="41" borderId="113" xfId="0" applyFont="1" applyFill="1" applyBorder="1" applyAlignment="1">
      <alignment horizontal="center" vertical="center"/>
    </xf>
    <xf numFmtId="3" fontId="63" fillId="2" borderId="60" xfId="0" applyNumberFormat="1" applyFont="1" applyFill="1" applyBorder="1" applyAlignment="1" applyProtection="1">
      <alignment horizontal="center" vertical="center"/>
      <protection locked="0"/>
    </xf>
    <xf numFmtId="9" fontId="43" fillId="2" borderId="60" xfId="0" applyNumberFormat="1" applyFont="1" applyFill="1" applyBorder="1" applyAlignment="1" applyProtection="1">
      <alignment horizontal="center" vertical="center"/>
      <protection locked="0"/>
    </xf>
    <xf numFmtId="169" fontId="43" fillId="0" borderId="60" xfId="0" applyNumberFormat="1" applyFont="1" applyBorder="1" applyAlignment="1">
      <alignment horizontal="center" vertical="center"/>
    </xf>
    <xf numFmtId="169" fontId="43" fillId="0" borderId="63" xfId="0" applyNumberFormat="1" applyFont="1" applyBorder="1" applyAlignment="1">
      <alignment horizontal="center" vertical="center"/>
    </xf>
    <xf numFmtId="169" fontId="43" fillId="3" borderId="60" xfId="0" applyNumberFormat="1" applyFont="1" applyFill="1" applyBorder="1" applyAlignment="1">
      <alignment horizontal="center" vertical="center"/>
    </xf>
    <xf numFmtId="172" fontId="43" fillId="3" borderId="60" xfId="0" applyNumberFormat="1" applyFont="1" applyFill="1" applyBorder="1" applyAlignment="1">
      <alignment horizontal="center" vertical="center"/>
    </xf>
    <xf numFmtId="9" fontId="43" fillId="0" borderId="60" xfId="0" applyNumberFormat="1" applyFont="1" applyBorder="1" applyAlignment="1">
      <alignment horizontal="center" vertical="center"/>
    </xf>
    <xf numFmtId="3" fontId="43" fillId="0" borderId="62" xfId="0" applyNumberFormat="1" applyFont="1" applyBorder="1" applyAlignment="1">
      <alignment horizontal="center" vertical="center"/>
    </xf>
    <xf numFmtId="169" fontId="63" fillId="0" borderId="60" xfId="0" applyNumberFormat="1" applyFont="1" applyBorder="1" applyAlignment="1">
      <alignment horizontal="center" vertical="center"/>
    </xf>
    <xf numFmtId="169" fontId="43" fillId="0" borderId="60" xfId="0" applyNumberFormat="1" applyFont="1" applyBorder="1" applyAlignment="1">
      <alignment vertical="center"/>
    </xf>
    <xf numFmtId="2" fontId="48" fillId="16" borderId="61" xfId="0" applyNumberFormat="1" applyFont="1" applyFill="1" applyBorder="1" applyAlignment="1">
      <alignment horizontal="left" vertical="center"/>
    </xf>
    <xf numFmtId="168" fontId="48" fillId="16" borderId="62" xfId="0" applyNumberFormat="1" applyFont="1" applyFill="1" applyBorder="1" applyAlignment="1">
      <alignment horizontal="center" vertical="center"/>
    </xf>
    <xf numFmtId="169" fontId="48" fillId="16" borderId="63" xfId="0" applyNumberFormat="1" applyFont="1" applyFill="1" applyBorder="1" applyAlignment="1">
      <alignment horizontal="center" vertical="center"/>
    </xf>
    <xf numFmtId="0" fontId="47" fillId="0" borderId="62" xfId="0" applyFont="1" applyBorder="1" applyAlignment="1">
      <alignment horizontal="center" vertical="center"/>
    </xf>
    <xf numFmtId="170" fontId="43" fillId="0" borderId="60" xfId="0" applyNumberFormat="1" applyFont="1" applyBorder="1" applyAlignment="1">
      <alignment horizontal="center" vertical="center"/>
    </xf>
    <xf numFmtId="0" fontId="43" fillId="0" borderId="60" xfId="0" applyFont="1" applyBorder="1" applyAlignment="1">
      <alignment vertical="center"/>
    </xf>
    <xf numFmtId="0" fontId="63" fillId="19" borderId="59" xfId="0" applyFont="1" applyFill="1" applyBorder="1" applyAlignment="1">
      <alignment horizontal="left" vertical="center"/>
    </xf>
    <xf numFmtId="170" fontId="41" fillId="19" borderId="60" xfId="0" applyNumberFormat="1" applyFont="1" applyFill="1" applyBorder="1" applyAlignment="1">
      <alignment horizontal="center" vertical="center"/>
    </xf>
    <xf numFmtId="173" fontId="43" fillId="0" borderId="63" xfId="0" applyNumberFormat="1" applyFont="1" applyBorder="1" applyAlignment="1">
      <alignment horizontal="center" vertical="center"/>
    </xf>
    <xf numFmtId="1" fontId="116" fillId="0" borderId="60" xfId="0" applyNumberFormat="1" applyFont="1" applyBorder="1" applyAlignment="1">
      <alignment horizontal="center" vertical="center"/>
    </xf>
    <xf numFmtId="0" fontId="42" fillId="0" borderId="59" xfId="0" applyFont="1" applyBorder="1" applyAlignment="1">
      <alignment horizontal="left" vertical="center"/>
    </xf>
    <xf numFmtId="0" fontId="63" fillId="0" borderId="60" xfId="0" applyFont="1" applyBorder="1" applyAlignment="1">
      <alignment vertical="center"/>
    </xf>
    <xf numFmtId="169" fontId="63" fillId="0" borderId="60" xfId="0" applyNumberFormat="1" applyFont="1" applyBorder="1" applyAlignment="1">
      <alignment vertical="center"/>
    </xf>
    <xf numFmtId="0" fontId="114" fillId="0" borderId="59" xfId="0" applyFont="1" applyBorder="1" applyAlignment="1">
      <alignment horizontal="left" vertical="center"/>
    </xf>
    <xf numFmtId="0" fontId="144" fillId="0" borderId="59" xfId="0" applyFont="1" applyBorder="1" applyAlignment="1">
      <alignment horizontal="left" vertical="center"/>
    </xf>
    <xf numFmtId="170" fontId="144" fillId="0" borderId="60" xfId="0" applyNumberFormat="1" applyFont="1" applyBorder="1" applyAlignment="1">
      <alignment horizontal="center" vertical="center"/>
    </xf>
    <xf numFmtId="0" fontId="41" fillId="19" borderId="59" xfId="0" applyFont="1" applyFill="1" applyBorder="1" applyAlignment="1">
      <alignment vertical="center"/>
    </xf>
    <xf numFmtId="0" fontId="61" fillId="29" borderId="116" xfId="0" applyFont="1" applyFill="1" applyBorder="1" applyAlignment="1">
      <alignment horizontal="center" vertical="center" wrapText="1"/>
    </xf>
    <xf numFmtId="9" fontId="41" fillId="2" borderId="60" xfId="0" applyNumberFormat="1" applyFont="1" applyFill="1" applyBorder="1" applyAlignment="1" applyProtection="1">
      <alignment horizontal="center" vertical="center"/>
      <protection locked="0"/>
    </xf>
    <xf numFmtId="0" fontId="47" fillId="0" borderId="60" xfId="0" applyFont="1" applyBorder="1" applyAlignment="1">
      <alignment vertical="center"/>
    </xf>
    <xf numFmtId="0" fontId="41" fillId="0" borderId="60" xfId="0" applyFont="1" applyBorder="1" applyAlignment="1">
      <alignment vertical="center"/>
    </xf>
    <xf numFmtId="169" fontId="113" fillId="0" borderId="60" xfId="0" applyNumberFormat="1" applyFont="1" applyBorder="1" applyAlignment="1">
      <alignment vertical="center"/>
    </xf>
    <xf numFmtId="169" fontId="47" fillId="0" borderId="60" xfId="0" applyNumberFormat="1" applyFont="1" applyBorder="1" applyAlignment="1">
      <alignment vertical="center"/>
    </xf>
    <xf numFmtId="170" fontId="87" fillId="0" borderId="60" xfId="0" applyNumberFormat="1" applyFont="1" applyBorder="1" applyAlignment="1">
      <alignment vertical="center"/>
    </xf>
    <xf numFmtId="171" fontId="47" fillId="0" borderId="60" xfId="0" applyNumberFormat="1" applyFont="1" applyBorder="1" applyAlignment="1">
      <alignment vertical="center"/>
    </xf>
    <xf numFmtId="0" fontId="61" fillId="41" borderId="116" xfId="0" applyFont="1" applyFill="1" applyBorder="1" applyAlignment="1">
      <alignment horizontal="center" vertical="center" wrapText="1"/>
    </xf>
    <xf numFmtId="171" fontId="43" fillId="2" borderId="60" xfId="0" applyNumberFormat="1" applyFont="1" applyFill="1" applyBorder="1" applyAlignment="1" applyProtection="1">
      <alignment horizontal="center" vertical="center"/>
      <protection locked="0"/>
    </xf>
    <xf numFmtId="2" fontId="43" fillId="2" borderId="60" xfId="0" applyNumberFormat="1" applyFont="1" applyFill="1" applyBorder="1" applyAlignment="1" applyProtection="1">
      <alignment horizontal="center" vertical="center"/>
      <protection locked="0"/>
    </xf>
    <xf numFmtId="169" fontId="43" fillId="2" borderId="60" xfId="0" applyNumberFormat="1" applyFont="1" applyFill="1" applyBorder="1" applyAlignment="1" applyProtection="1">
      <alignment horizontal="center" vertical="center"/>
      <protection locked="0"/>
    </xf>
    <xf numFmtId="0" fontId="61" fillId="41" borderId="59" xfId="0" applyFont="1" applyFill="1" applyBorder="1" applyAlignment="1">
      <alignment horizontal="center" vertical="center"/>
    </xf>
    <xf numFmtId="0" fontId="61" fillId="41" borderId="60" xfId="0" applyFont="1" applyFill="1" applyBorder="1" applyAlignment="1" applyProtection="1">
      <alignment horizontal="center" vertical="center"/>
      <protection locked="0"/>
    </xf>
    <xf numFmtId="171" fontId="43" fillId="2" borderId="63" xfId="0" applyNumberFormat="1" applyFont="1" applyFill="1" applyBorder="1" applyAlignment="1" applyProtection="1">
      <alignment horizontal="center" vertical="center"/>
      <protection locked="0"/>
    </xf>
    <xf numFmtId="169" fontId="47" fillId="2" borderId="60" xfId="0" applyNumberFormat="1" applyFont="1" applyFill="1" applyBorder="1" applyAlignment="1" applyProtection="1">
      <alignment horizontal="center" vertical="center"/>
      <protection locked="0"/>
    </xf>
    <xf numFmtId="170" fontId="63" fillId="0" borderId="60" xfId="0" applyNumberFormat="1" applyFont="1" applyBorder="1" applyAlignment="1">
      <alignment horizontal="center" vertical="center"/>
    </xf>
    <xf numFmtId="0" fontId="71" fillId="46" borderId="153" xfId="0" applyFont="1" applyFill="1" applyBorder="1" applyAlignment="1">
      <alignment horizontal="right" vertical="center"/>
    </xf>
    <xf numFmtId="0" fontId="71" fillId="46" borderId="156" xfId="0" applyFont="1" applyFill="1" applyBorder="1" applyAlignment="1">
      <alignment horizontal="right" vertical="center"/>
    </xf>
    <xf numFmtId="171" fontId="47" fillId="0" borderId="63" xfId="0" applyNumberFormat="1" applyFont="1" applyBorder="1" applyAlignment="1">
      <alignment horizontal="center" vertical="center"/>
    </xf>
    <xf numFmtId="171" fontId="47" fillId="2" borderId="60" xfId="0" applyNumberFormat="1" applyFont="1" applyFill="1" applyBorder="1" applyAlignment="1" applyProtection="1">
      <alignment horizontal="center" vertical="center"/>
      <protection locked="0"/>
    </xf>
    <xf numFmtId="171" fontId="43" fillId="0" borderId="60" xfId="0" applyNumberFormat="1" applyFont="1" applyBorder="1" applyAlignment="1">
      <alignment horizontal="center" vertical="center"/>
    </xf>
    <xf numFmtId="171" fontId="43" fillId="0" borderId="63" xfId="0" applyNumberFormat="1" applyFont="1" applyBorder="1" applyAlignment="1">
      <alignment horizontal="center" vertical="center"/>
    </xf>
    <xf numFmtId="171" fontId="47" fillId="0" borderId="60" xfId="0" applyNumberFormat="1" applyFont="1" applyBorder="1" applyAlignment="1">
      <alignment horizontal="center" vertical="center"/>
    </xf>
    <xf numFmtId="166" fontId="43" fillId="11" borderId="151" xfId="1" applyNumberFormat="1" applyFont="1" applyFill="1" applyBorder="1" applyAlignment="1" applyProtection="1">
      <alignment horizontal="center" vertical="center"/>
      <protection locked="0"/>
    </xf>
    <xf numFmtId="0" fontId="47" fillId="11" borderId="30" xfId="0" applyFont="1" applyFill="1" applyBorder="1" applyAlignment="1" applyProtection="1">
      <alignment horizontal="center" vertical="center"/>
      <protection locked="0"/>
    </xf>
    <xf numFmtId="165" fontId="94" fillId="54" borderId="30" xfId="0" applyNumberFormat="1" applyFont="1" applyFill="1" applyBorder="1" applyAlignment="1" applyProtection="1">
      <alignment horizontal="center" vertical="center"/>
      <protection locked="0"/>
    </xf>
    <xf numFmtId="165" fontId="43" fillId="11" borderId="30" xfId="0" applyNumberFormat="1" applyFont="1" applyFill="1" applyBorder="1" applyAlignment="1" applyProtection="1">
      <alignment horizontal="center" vertical="center"/>
      <protection locked="0"/>
    </xf>
    <xf numFmtId="165" fontId="47" fillId="11" borderId="30" xfId="0" applyNumberFormat="1" applyFont="1" applyFill="1" applyBorder="1" applyAlignment="1" applyProtection="1">
      <alignment horizontal="center" vertical="center"/>
      <protection locked="0"/>
    </xf>
    <xf numFmtId="0" fontId="66" fillId="14" borderId="23" xfId="0" applyFont="1" applyFill="1" applyBorder="1" applyAlignment="1">
      <alignment vertical="center"/>
    </xf>
    <xf numFmtId="0" fontId="127" fillId="15" borderId="0" xfId="0" applyFont="1" applyFill="1" applyAlignment="1" applyProtection="1">
      <alignment horizontal="left" vertical="center"/>
      <protection locked="0"/>
    </xf>
    <xf numFmtId="0" fontId="56" fillId="15" borderId="0" xfId="0" applyFont="1" applyFill="1" applyAlignment="1" applyProtection="1">
      <alignment vertical="center"/>
      <protection locked="0"/>
    </xf>
    <xf numFmtId="0" fontId="56" fillId="0" borderId="23" xfId="0" applyFont="1" applyBorder="1" applyAlignment="1" applyProtection="1">
      <alignment vertical="center"/>
      <protection locked="0"/>
    </xf>
    <xf numFmtId="0" fontId="97" fillId="16" borderId="28" xfId="0" applyFont="1" applyFill="1" applyBorder="1" applyAlignment="1">
      <alignment horizontal="left" vertical="center"/>
    </xf>
    <xf numFmtId="9" fontId="49" fillId="0" borderId="23" xfId="1" applyFont="1" applyBorder="1" applyAlignment="1">
      <alignment vertical="center"/>
    </xf>
    <xf numFmtId="9" fontId="183" fillId="0" borderId="49" xfId="1" applyFont="1" applyBorder="1" applyAlignment="1">
      <alignment horizontal="center" vertical="center"/>
    </xf>
    <xf numFmtId="0" fontId="195" fillId="0" borderId="23" xfId="0" applyFont="1" applyBorder="1" applyAlignment="1">
      <alignment vertical="center"/>
    </xf>
    <xf numFmtId="0" fontId="214" fillId="0" borderId="23" xfId="0" applyFont="1" applyBorder="1" applyAlignment="1">
      <alignment horizontal="center"/>
    </xf>
    <xf numFmtId="0" fontId="215" fillId="0" borderId="23" xfId="0" applyFont="1" applyBorder="1" applyAlignment="1">
      <alignment horizontal="center"/>
    </xf>
    <xf numFmtId="0" fontId="196" fillId="0" borderId="23" xfId="0" applyFont="1" applyBorder="1" applyAlignment="1">
      <alignment vertical="center"/>
    </xf>
    <xf numFmtId="0" fontId="216" fillId="0" borderId="23" xfId="0" applyFont="1" applyBorder="1" applyAlignment="1">
      <alignment vertical="center"/>
    </xf>
    <xf numFmtId="0" fontId="196" fillId="0" borderId="23" xfId="0" applyFont="1" applyBorder="1"/>
    <xf numFmtId="0" fontId="217" fillId="0" borderId="23" xfId="0" applyFont="1" applyBorder="1" applyAlignment="1">
      <alignment vertical="center"/>
    </xf>
    <xf numFmtId="0" fontId="195" fillId="0" borderId="23" xfId="0" applyFont="1" applyBorder="1"/>
    <xf numFmtId="9" fontId="41" fillId="0" borderId="60" xfId="0" applyNumberFormat="1" applyFont="1" applyBorder="1" applyAlignment="1">
      <alignment horizontal="center" vertical="center"/>
    </xf>
    <xf numFmtId="0" fontId="40" fillId="0" borderId="117" xfId="0" applyFont="1" applyBorder="1" applyAlignment="1">
      <alignment vertical="center"/>
    </xf>
    <xf numFmtId="0" fontId="121" fillId="0" borderId="117" xfId="0" applyFont="1" applyBorder="1" applyAlignment="1">
      <alignment vertical="center"/>
    </xf>
    <xf numFmtId="0" fontId="121" fillId="0" borderId="23" xfId="0" applyFont="1" applyBorder="1" applyAlignment="1">
      <alignment vertical="center"/>
    </xf>
    <xf numFmtId="0" fontId="121" fillId="0" borderId="119" xfId="0" applyFont="1" applyBorder="1" applyAlignment="1">
      <alignment vertical="center"/>
    </xf>
    <xf numFmtId="0" fontId="40" fillId="0" borderId="23" xfId="0" applyFont="1" applyBorder="1" applyAlignment="1">
      <alignment vertical="center" wrapText="1"/>
    </xf>
    <xf numFmtId="0" fontId="0" fillId="0" borderId="115" xfId="0" applyBorder="1" applyAlignment="1">
      <alignment vertical="center"/>
    </xf>
    <xf numFmtId="0" fontId="61" fillId="29" borderId="127" xfId="0" applyFont="1" applyFill="1" applyBorder="1" applyAlignment="1">
      <alignment vertical="center"/>
    </xf>
    <xf numFmtId="0" fontId="61" fillId="29" borderId="126" xfId="0" applyFont="1" applyFill="1" applyBorder="1" applyAlignment="1">
      <alignment horizontal="center" vertical="center"/>
    </xf>
    <xf numFmtId="0" fontId="43" fillId="0" borderId="161" xfId="0" applyFont="1" applyBorder="1" applyAlignment="1">
      <alignment horizontal="left" vertical="center"/>
    </xf>
    <xf numFmtId="0" fontId="25" fillId="0" borderId="23" xfId="0" applyFont="1" applyBorder="1" applyAlignment="1">
      <alignment horizontal="right" vertical="center"/>
    </xf>
    <xf numFmtId="0" fontId="25" fillId="0" borderId="23" xfId="0" applyFont="1" applyBorder="1" applyAlignment="1">
      <alignment vertical="center"/>
    </xf>
    <xf numFmtId="0" fontId="37" fillId="0" borderId="0" xfId="0" applyFont="1" applyAlignment="1">
      <alignment horizontal="center"/>
    </xf>
    <xf numFmtId="0" fontId="25" fillId="0" borderId="0" xfId="0" applyFont="1"/>
    <xf numFmtId="0" fontId="32" fillId="0" borderId="0" xfId="0" applyFont="1"/>
    <xf numFmtId="1" fontId="32" fillId="0" borderId="23" xfId="0" applyNumberFormat="1" applyFont="1" applyBorder="1"/>
    <xf numFmtId="168" fontId="183" fillId="0" borderId="49" xfId="0" applyNumberFormat="1" applyFont="1" applyBorder="1" applyAlignment="1">
      <alignment horizontal="center" vertical="center"/>
    </xf>
    <xf numFmtId="166" fontId="48" fillId="0" borderId="34" xfId="0" applyNumberFormat="1" applyFont="1" applyBorder="1" applyAlignment="1">
      <alignment horizontal="center" vertical="center" wrapText="1"/>
    </xf>
    <xf numFmtId="0" fontId="80" fillId="16" borderId="23" xfId="0" applyFont="1" applyFill="1" applyBorder="1" applyAlignment="1">
      <alignment vertical="center"/>
    </xf>
    <xf numFmtId="0" fontId="97" fillId="16" borderId="23" xfId="0" applyFont="1" applyFill="1" applyBorder="1" applyAlignment="1">
      <alignment horizontal="left" vertical="center"/>
    </xf>
    <xf numFmtId="0" fontId="218" fillId="0" borderId="0" xfId="0" applyFont="1" applyAlignment="1">
      <alignment horizontal="left"/>
    </xf>
    <xf numFmtId="3" fontId="26" fillId="0" borderId="30" xfId="0" applyNumberFormat="1" applyFont="1" applyBorder="1" applyAlignment="1">
      <alignment horizontal="center" vertical="center"/>
    </xf>
    <xf numFmtId="0" fontId="226" fillId="29" borderId="30" xfId="0" applyFont="1" applyFill="1" applyBorder="1" applyAlignment="1">
      <alignment horizontal="center" vertical="center"/>
    </xf>
    <xf numFmtId="3" fontId="227" fillId="0" borderId="30" xfId="0" applyNumberFormat="1" applyFont="1" applyBorder="1" applyAlignment="1">
      <alignment horizontal="center" vertical="center"/>
    </xf>
    <xf numFmtId="1" fontId="227" fillId="0" borderId="30" xfId="0" applyNumberFormat="1" applyFont="1" applyBorder="1" applyAlignment="1">
      <alignment horizontal="center" vertical="center"/>
    </xf>
    <xf numFmtId="0" fontId="206" fillId="16" borderId="30" xfId="0" applyFont="1" applyFill="1" applyBorder="1" applyAlignment="1">
      <alignment horizontal="center" vertical="center" wrapText="1"/>
    </xf>
    <xf numFmtId="0" fontId="206" fillId="16" borderId="31" xfId="0" applyFont="1" applyFill="1" applyBorder="1" applyAlignment="1">
      <alignment horizontal="center" vertical="center" wrapText="1"/>
    </xf>
    <xf numFmtId="0" fontId="36" fillId="14" borderId="44" xfId="0" applyFont="1" applyFill="1" applyBorder="1" applyAlignment="1">
      <alignment vertical="center"/>
    </xf>
    <xf numFmtId="175" fontId="36" fillId="0" borderId="30" xfId="0" applyNumberFormat="1" applyFont="1" applyBorder="1" applyAlignment="1">
      <alignment horizontal="center" vertical="center"/>
    </xf>
    <xf numFmtId="175" fontId="36" fillId="5" borderId="30" xfId="0" applyNumberFormat="1" applyFont="1" applyFill="1" applyBorder="1" applyAlignment="1">
      <alignment horizontal="center" vertical="center"/>
    </xf>
    <xf numFmtId="0" fontId="36" fillId="0" borderId="29" xfId="0" applyFont="1" applyBorder="1" applyAlignment="1">
      <alignment vertical="center"/>
    </xf>
    <xf numFmtId="0" fontId="36" fillId="0" borderId="30" xfId="0" applyFont="1" applyBorder="1" applyAlignment="1">
      <alignment vertical="center"/>
    </xf>
    <xf numFmtId="0" fontId="36" fillId="0" borderId="30" xfId="0" applyFont="1" applyBorder="1" applyAlignment="1">
      <alignment horizontal="center" vertical="center"/>
    </xf>
    <xf numFmtId="0" fontId="61" fillId="29" borderId="31" xfId="0" applyFont="1" applyFill="1" applyBorder="1" applyAlignment="1">
      <alignment horizontal="center" vertical="center" wrapText="1"/>
    </xf>
    <xf numFmtId="0" fontId="26" fillId="0" borderId="30" xfId="0" applyFont="1" applyBorder="1" applyAlignment="1">
      <alignment horizontal="center" vertical="center"/>
    </xf>
    <xf numFmtId="0" fontId="172" fillId="0" borderId="30" xfId="0" applyFont="1" applyBorder="1" applyAlignment="1">
      <alignment horizontal="center" vertical="center"/>
    </xf>
    <xf numFmtId="0" fontId="172" fillId="5" borderId="30" xfId="0" applyFont="1" applyFill="1" applyBorder="1" applyAlignment="1">
      <alignment horizontal="center" vertical="center"/>
    </xf>
    <xf numFmtId="0" fontId="231" fillId="14" borderId="0" xfId="0" applyFont="1" applyFill="1" applyAlignment="1">
      <alignment vertical="center"/>
    </xf>
    <xf numFmtId="0" fontId="232" fillId="14" borderId="0" xfId="0" applyFont="1" applyFill="1" applyAlignment="1">
      <alignment vertical="center"/>
    </xf>
    <xf numFmtId="3" fontId="233" fillId="0" borderId="30" xfId="0" applyNumberFormat="1" applyFont="1" applyBorder="1" applyAlignment="1">
      <alignment horizontal="center" vertical="center"/>
    </xf>
    <xf numFmtId="0" fontId="232" fillId="14" borderId="23" xfId="0" applyFont="1" applyFill="1" applyBorder="1" applyAlignment="1">
      <alignment vertical="center"/>
    </xf>
    <xf numFmtId="0" fontId="231" fillId="14" borderId="27" xfId="0" applyFont="1" applyFill="1" applyBorder="1" applyAlignment="1">
      <alignment vertical="center"/>
    </xf>
    <xf numFmtId="0" fontId="231" fillId="14" borderId="0" xfId="0" applyFont="1" applyFill="1" applyAlignment="1">
      <alignment horizontal="center" vertical="center"/>
    </xf>
    <xf numFmtId="0" fontId="231" fillId="14" borderId="0" xfId="0" applyFont="1" applyFill="1"/>
    <xf numFmtId="0" fontId="231" fillId="0" borderId="0" xfId="0" applyFont="1"/>
    <xf numFmtId="0" fontId="231" fillId="0" borderId="0" xfId="0" applyFont="1" applyAlignment="1">
      <alignment vertical="center"/>
    </xf>
    <xf numFmtId="0" fontId="231" fillId="14" borderId="23" xfId="0" applyFont="1" applyFill="1" applyBorder="1" applyAlignment="1">
      <alignment vertical="center"/>
    </xf>
    <xf numFmtId="175" fontId="36" fillId="0" borderId="29" xfId="0" applyNumberFormat="1" applyFont="1" applyBorder="1" applyAlignment="1">
      <alignment horizontal="center" vertical="center"/>
    </xf>
    <xf numFmtId="0" fontId="172" fillId="0" borderId="29" xfId="0" applyFont="1" applyBorder="1" applyAlignment="1">
      <alignment horizontal="center" vertical="center"/>
    </xf>
    <xf numFmtId="167" fontId="26" fillId="0" borderId="60" xfId="0" applyNumberFormat="1" applyFont="1" applyBorder="1" applyAlignment="1">
      <alignment horizontal="center" vertical="center"/>
    </xf>
    <xf numFmtId="3" fontId="36" fillId="0" borderId="60" xfId="0" applyNumberFormat="1" applyFont="1" applyBorder="1" applyAlignment="1">
      <alignment horizontal="center" vertical="center"/>
    </xf>
    <xf numFmtId="0" fontId="26" fillId="2" borderId="60" xfId="0" applyFont="1" applyFill="1" applyBorder="1" applyAlignment="1" applyProtection="1">
      <alignment horizontal="center" vertical="center"/>
      <protection locked="0"/>
    </xf>
    <xf numFmtId="0" fontId="36" fillId="0" borderId="30" xfId="0" applyFont="1" applyBorder="1" applyAlignment="1">
      <alignment horizontal="center" vertical="center" wrapText="1"/>
    </xf>
    <xf numFmtId="167" fontId="36" fillId="0" borderId="60" xfId="0" applyNumberFormat="1" applyFont="1" applyBorder="1" applyAlignment="1">
      <alignment horizontal="center" vertical="center"/>
    </xf>
    <xf numFmtId="0" fontId="36" fillId="0" borderId="62" xfId="0" applyFont="1" applyBorder="1" applyAlignment="1">
      <alignment horizontal="center" vertical="center"/>
    </xf>
    <xf numFmtId="167" fontId="36" fillId="0" borderId="63" xfId="0" applyNumberFormat="1" applyFont="1" applyBorder="1" applyAlignment="1">
      <alignment horizontal="center" vertical="center"/>
    </xf>
    <xf numFmtId="9" fontId="26" fillId="2" borderId="60" xfId="0" applyNumberFormat="1" applyFont="1" applyFill="1" applyBorder="1" applyAlignment="1" applyProtection="1">
      <alignment horizontal="center" vertical="center"/>
      <protection locked="0"/>
    </xf>
    <xf numFmtId="168" fontId="3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protection locked="0"/>
    </xf>
    <xf numFmtId="0" fontId="234" fillId="0" borderId="30" xfId="0" applyFont="1" applyBorder="1" applyAlignment="1">
      <alignment horizontal="center" vertical="center"/>
    </xf>
    <xf numFmtId="166" fontId="234" fillId="11" borderId="60" xfId="1" applyNumberFormat="1" applyFont="1" applyFill="1" applyBorder="1" applyAlignment="1" applyProtection="1">
      <alignment horizontal="center" vertical="center"/>
      <protection locked="0"/>
    </xf>
    <xf numFmtId="168" fontId="2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wrapText="1"/>
      <protection locked="0"/>
    </xf>
    <xf numFmtId="10" fontId="36" fillId="0" borderId="60" xfId="0" applyNumberFormat="1" applyFont="1" applyBorder="1" applyAlignment="1">
      <alignment horizontal="center" vertical="center"/>
    </xf>
    <xf numFmtId="3" fontId="26" fillId="2" borderId="30" xfId="0" applyNumberFormat="1" applyFont="1" applyFill="1" applyBorder="1" applyAlignment="1" applyProtection="1">
      <alignment horizontal="center" vertical="center"/>
      <protection locked="0"/>
    </xf>
    <xf numFmtId="3" fontId="26" fillId="0" borderId="62" xfId="0" applyNumberFormat="1" applyFont="1" applyBorder="1" applyAlignment="1">
      <alignment horizontal="center" vertical="center"/>
    </xf>
    <xf numFmtId="10" fontId="36" fillId="0" borderId="63" xfId="0" applyNumberFormat="1" applyFont="1" applyBorder="1" applyAlignment="1">
      <alignment horizontal="center" vertical="center"/>
    </xf>
    <xf numFmtId="3" fontId="26" fillId="0" borderId="60" xfId="0" applyNumberFormat="1" applyFont="1" applyBorder="1" applyAlignment="1">
      <alignment horizontal="center" vertical="center"/>
    </xf>
    <xf numFmtId="3" fontId="26" fillId="0" borderId="63" xfId="0" applyNumberFormat="1" applyFont="1" applyBorder="1" applyAlignment="1">
      <alignment horizontal="center" vertical="center"/>
    </xf>
    <xf numFmtId="0" fontId="36" fillId="0" borderId="59" xfId="0" applyFont="1" applyBorder="1" applyAlignment="1">
      <alignment vertical="center"/>
    </xf>
    <xf numFmtId="0" fontId="26" fillId="0" borderId="61" xfId="0" applyFont="1" applyBorder="1" applyAlignment="1">
      <alignment horizontal="left" vertical="center"/>
    </xf>
    <xf numFmtId="0" fontId="36" fillId="0" borderId="59" xfId="0" applyFont="1" applyBorder="1" applyAlignment="1">
      <alignment vertical="center" wrapText="1"/>
    </xf>
    <xf numFmtId="0" fontId="36" fillId="0" borderId="61" xfId="0" applyFont="1" applyBorder="1" applyAlignment="1">
      <alignment vertical="center" wrapText="1"/>
    </xf>
    <xf numFmtId="0" fontId="234" fillId="0" borderId="59" xfId="0" applyFont="1" applyBorder="1" applyAlignment="1">
      <alignment vertical="center"/>
    </xf>
    <xf numFmtId="0" fontId="36" fillId="0" borderId="61" xfId="0" applyFont="1" applyBorder="1" applyAlignment="1">
      <alignment vertical="center"/>
    </xf>
    <xf numFmtId="0" fontId="234" fillId="0" borderId="59" xfId="0" applyFont="1" applyBorder="1" applyAlignment="1">
      <alignment vertical="center" wrapText="1"/>
    </xf>
    <xf numFmtId="0" fontId="236" fillId="0" borderId="59" xfId="0" applyFont="1" applyBorder="1" applyAlignment="1">
      <alignment vertical="center" wrapText="1"/>
    </xf>
    <xf numFmtId="2" fontId="47" fillId="0" borderId="59" xfId="0" applyNumberFormat="1" applyFont="1" applyBorder="1" applyAlignment="1">
      <alignment horizontal="center" vertical="center"/>
    </xf>
    <xf numFmtId="2" fontId="47" fillId="0" borderId="60" xfId="0" applyNumberFormat="1" applyFont="1" applyBorder="1" applyAlignment="1">
      <alignment horizontal="center" vertical="center"/>
    </xf>
    <xf numFmtId="2" fontId="38" fillId="0" borderId="30" xfId="0" applyNumberFormat="1" applyFont="1" applyBorder="1" applyAlignment="1">
      <alignment horizontal="center" vertical="center"/>
    </xf>
    <xf numFmtId="0" fontId="172" fillId="0" borderId="29" xfId="0" applyFont="1" applyBorder="1" applyAlignment="1">
      <alignment horizontal="center" vertical="center" wrapText="1"/>
    </xf>
    <xf numFmtId="0" fontId="172" fillId="2" borderId="30" xfId="0" applyFont="1" applyFill="1" applyBorder="1" applyAlignment="1" applyProtection="1">
      <alignment horizontal="center" vertical="center" wrapText="1"/>
      <protection locked="0"/>
    </xf>
    <xf numFmtId="180" fontId="172" fillId="2" borderId="31" xfId="0" applyNumberFormat="1" applyFont="1" applyFill="1" applyBorder="1" applyAlignment="1" applyProtection="1">
      <alignment horizontal="center" vertical="center" wrapText="1"/>
      <protection locked="0"/>
    </xf>
    <xf numFmtId="175" fontId="180" fillId="0" borderId="30" xfId="0" applyNumberFormat="1" applyFont="1" applyBorder="1" applyAlignment="1">
      <alignment horizontal="center" vertical="center"/>
    </xf>
    <xf numFmtId="175" fontId="180" fillId="5" borderId="30" xfId="0" applyNumberFormat="1" applyFont="1" applyFill="1" applyBorder="1" applyAlignment="1">
      <alignment horizontal="center" vertical="center"/>
    </xf>
    <xf numFmtId="0" fontId="172" fillId="0" borderId="30" xfId="0" applyFont="1" applyBorder="1" applyAlignment="1">
      <alignment horizontal="center" vertical="center" wrapText="1"/>
    </xf>
    <xf numFmtId="180" fontId="172" fillId="0" borderId="31" xfId="0" applyNumberFormat="1" applyFont="1" applyBorder="1" applyAlignment="1">
      <alignment horizontal="center" vertical="center" wrapText="1"/>
    </xf>
    <xf numFmtId="175" fontId="180" fillId="0" borderId="29" xfId="0" applyNumberFormat="1" applyFont="1" applyBorder="1" applyAlignment="1">
      <alignment horizontal="center" vertical="center"/>
    </xf>
    <xf numFmtId="166" fontId="27" fillId="0" borderId="59" xfId="0" applyNumberFormat="1" applyFont="1" applyBorder="1" applyAlignment="1">
      <alignment horizontal="center" vertical="center"/>
    </xf>
    <xf numFmtId="10" fontId="47" fillId="0" borderId="30" xfId="0" applyNumberFormat="1" applyFont="1" applyBorder="1" applyAlignment="1">
      <alignment horizontal="center" vertical="center"/>
    </xf>
    <xf numFmtId="166" fontId="238" fillId="55" borderId="0" xfId="1" applyNumberFormat="1" applyFont="1" applyFill="1" applyAlignment="1">
      <alignment horizontal="center" vertical="center"/>
    </xf>
    <xf numFmtId="2" fontId="95" fillId="27" borderId="30" xfId="0" applyNumberFormat="1" applyFont="1" applyFill="1" applyBorder="1" applyAlignment="1" applyProtection="1">
      <alignment horizontal="center" vertical="center"/>
      <protection locked="0"/>
    </xf>
    <xf numFmtId="9" fontId="40" fillId="0" borderId="0" xfId="1" applyFont="1" applyAlignment="1">
      <alignment horizontal="center" vertical="center"/>
    </xf>
    <xf numFmtId="1" fontId="47" fillId="11" borderId="30" xfId="0" applyNumberFormat="1" applyFont="1" applyFill="1" applyBorder="1" applyAlignment="1" applyProtection="1">
      <alignment horizontal="center" vertical="center"/>
      <protection locked="0"/>
    </xf>
    <xf numFmtId="0" fontId="9" fillId="0" borderId="0" xfId="0" applyFont="1" applyAlignment="1">
      <alignment horizontal="right" vertical="center"/>
    </xf>
    <xf numFmtId="1" fontId="49" fillId="0" borderId="59" xfId="0" applyNumberFormat="1" applyFont="1" applyBorder="1" applyAlignment="1">
      <alignment horizontal="center" vertical="center"/>
    </xf>
    <xf numFmtId="166" fontId="72" fillId="0" borderId="59" xfId="0" applyNumberFormat="1" applyFont="1" applyBorder="1" applyAlignment="1">
      <alignment horizontal="center" vertical="center"/>
    </xf>
    <xf numFmtId="173" fontId="40" fillId="0" borderId="5" xfId="0" applyNumberFormat="1" applyFont="1" applyBorder="1" applyAlignment="1">
      <alignment horizontal="center" vertical="center"/>
    </xf>
    <xf numFmtId="167" fontId="121" fillId="0" borderId="0" xfId="0" applyNumberFormat="1" applyFont="1" applyAlignment="1">
      <alignment horizontal="center" vertical="center"/>
    </xf>
    <xf numFmtId="167" fontId="40" fillId="0" borderId="0" xfId="0" applyNumberFormat="1" applyFont="1" applyAlignment="1">
      <alignment horizontal="center" vertical="center"/>
    </xf>
    <xf numFmtId="167" fontId="47" fillId="0" borderId="0" xfId="0" applyNumberFormat="1" applyFont="1" applyAlignment="1">
      <alignment horizontal="right" vertical="center"/>
    </xf>
    <xf numFmtId="0" fontId="61" fillId="0" borderId="23" xfId="0" applyFont="1" applyBorder="1" applyAlignment="1">
      <alignment vertical="center"/>
    </xf>
    <xf numFmtId="0" fontId="61" fillId="0" borderId="23" xfId="0" applyFont="1" applyBorder="1" applyAlignment="1">
      <alignment horizontal="center" vertical="center"/>
    </xf>
    <xf numFmtId="10" fontId="40" fillId="0" borderId="23" xfId="0" applyNumberFormat="1" applyFont="1" applyBorder="1" applyAlignment="1">
      <alignment horizontal="center" vertical="center"/>
    </xf>
    <xf numFmtId="9" fontId="40" fillId="0" borderId="23" xfId="0" applyNumberFormat="1" applyFont="1" applyBorder="1" applyAlignment="1">
      <alignment horizontal="center" vertical="center"/>
    </xf>
    <xf numFmtId="168" fontId="0" fillId="0" borderId="0" xfId="0" applyNumberFormat="1" applyAlignment="1">
      <alignment vertical="center"/>
    </xf>
    <xf numFmtId="0" fontId="30" fillId="0" borderId="0" xfId="0" applyFont="1" applyAlignment="1">
      <alignment vertical="center"/>
    </xf>
    <xf numFmtId="181" fontId="0" fillId="0" borderId="0" xfId="0" applyNumberFormat="1" applyAlignment="1">
      <alignment vertical="center"/>
    </xf>
    <xf numFmtId="0" fontId="9" fillId="57" borderId="142" xfId="0" applyFont="1" applyFill="1" applyBorder="1" applyAlignment="1">
      <alignment horizontal="right" vertical="center"/>
    </xf>
    <xf numFmtId="0" fontId="30" fillId="14" borderId="169" xfId="0" applyFont="1" applyFill="1" applyBorder="1" applyAlignment="1">
      <alignment horizontal="right" vertical="center"/>
    </xf>
    <xf numFmtId="0" fontId="30" fillId="14" borderId="168" xfId="0" applyFont="1" applyFill="1" applyBorder="1" applyAlignment="1">
      <alignment vertical="center"/>
    </xf>
    <xf numFmtId="1" fontId="30" fillId="14" borderId="168" xfId="0" applyNumberFormat="1" applyFont="1" applyFill="1" applyBorder="1" applyAlignment="1">
      <alignment horizontal="center" vertical="center"/>
    </xf>
    <xf numFmtId="9" fontId="30" fillId="14" borderId="168" xfId="1" applyFont="1" applyFill="1" applyBorder="1" applyAlignment="1">
      <alignment horizontal="center" vertical="center"/>
    </xf>
    <xf numFmtId="168" fontId="8" fillId="0" borderId="165" xfId="0" applyNumberFormat="1" applyFont="1" applyBorder="1" applyAlignment="1">
      <alignment horizontal="center" vertical="center"/>
    </xf>
    <xf numFmtId="0" fontId="30" fillId="14" borderId="164" xfId="0" applyFont="1" applyFill="1" applyBorder="1" applyAlignment="1">
      <alignment horizontal="right" vertical="center"/>
    </xf>
    <xf numFmtId="0" fontId="30" fillId="14" borderId="162" xfId="0" applyFont="1" applyFill="1" applyBorder="1" applyAlignment="1">
      <alignment vertical="center"/>
    </xf>
    <xf numFmtId="1" fontId="30" fillId="14" borderId="162" xfId="0" applyNumberFormat="1" applyFont="1" applyFill="1" applyBorder="1" applyAlignment="1">
      <alignment horizontal="center" vertical="center"/>
    </xf>
    <xf numFmtId="9" fontId="30" fillId="14" borderId="162" xfId="1" applyFont="1" applyFill="1" applyBorder="1" applyAlignment="1">
      <alignment horizontal="center" vertical="center"/>
    </xf>
    <xf numFmtId="0" fontId="9" fillId="57" borderId="164" xfId="0" applyFont="1" applyFill="1" applyBorder="1" applyAlignment="1">
      <alignment horizontal="right" vertical="center"/>
    </xf>
    <xf numFmtId="0" fontId="9" fillId="57" borderId="162" xfId="0" applyFont="1" applyFill="1" applyBorder="1" applyAlignment="1">
      <alignment vertical="center"/>
    </xf>
    <xf numFmtId="1" fontId="9" fillId="57" borderId="162" xfId="0" applyNumberFormat="1" applyFont="1" applyFill="1" applyBorder="1" applyAlignment="1">
      <alignment horizontal="center" vertical="center"/>
    </xf>
    <xf numFmtId="9" fontId="9" fillId="57" borderId="162" xfId="1" applyFont="1" applyFill="1" applyBorder="1" applyAlignment="1">
      <alignment horizontal="center" vertical="center"/>
    </xf>
    <xf numFmtId="0" fontId="9" fillId="0" borderId="142" xfId="0" applyFont="1" applyBorder="1" applyAlignment="1">
      <alignment horizontal="right" vertical="center"/>
    </xf>
    <xf numFmtId="0" fontId="9" fillId="0" borderId="164" xfId="0" applyFont="1" applyBorder="1" applyAlignment="1">
      <alignment horizontal="right" vertical="center"/>
    </xf>
    <xf numFmtId="0" fontId="30" fillId="0" borderId="162" xfId="0" applyFont="1" applyBorder="1" applyAlignment="1">
      <alignment vertical="center"/>
    </xf>
    <xf numFmtId="0" fontId="30" fillId="57" borderId="0" xfId="0" applyFont="1" applyFill="1" applyAlignment="1">
      <alignment vertical="center"/>
    </xf>
    <xf numFmtId="0" fontId="8" fillId="57" borderId="141" xfId="0" applyFont="1" applyFill="1" applyBorder="1" applyAlignment="1">
      <alignment horizontal="right" vertical="center"/>
    </xf>
    <xf numFmtId="0" fontId="8" fillId="57" borderId="140" xfId="0" applyFont="1" applyFill="1" applyBorder="1" applyAlignment="1">
      <alignment vertical="center"/>
    </xf>
    <xf numFmtId="3" fontId="8" fillId="57" borderId="140" xfId="0" applyNumberFormat="1" applyFont="1" applyFill="1" applyBorder="1" applyAlignment="1">
      <alignment horizontal="center" vertical="center"/>
    </xf>
    <xf numFmtId="1" fontId="0" fillId="0" borderId="0" xfId="0" applyNumberFormat="1" applyAlignment="1">
      <alignment vertical="center"/>
    </xf>
    <xf numFmtId="3" fontId="9" fillId="57" borderId="166" xfId="0" applyNumberFormat="1" applyFont="1" applyFill="1" applyBorder="1" applyAlignment="1">
      <alignment horizontal="center" vertical="center"/>
    </xf>
    <xf numFmtId="0" fontId="30" fillId="14" borderId="171" xfId="0" applyFont="1" applyFill="1" applyBorder="1" applyAlignment="1">
      <alignment horizontal="right" vertical="center"/>
    </xf>
    <xf numFmtId="0" fontId="30" fillId="14" borderId="163" xfId="0" applyFont="1" applyFill="1" applyBorder="1" applyAlignment="1">
      <alignment vertical="center"/>
    </xf>
    <xf numFmtId="1" fontId="30" fillId="14" borderId="163" xfId="0" applyNumberFormat="1" applyFont="1" applyFill="1" applyBorder="1" applyAlignment="1">
      <alignment horizontal="center" vertical="center"/>
    </xf>
    <xf numFmtId="9" fontId="30" fillId="14" borderId="163" xfId="1" applyFont="1" applyFill="1" applyBorder="1" applyAlignment="1">
      <alignment horizontal="center" vertical="center"/>
    </xf>
    <xf numFmtId="0" fontId="242" fillId="0" borderId="0" xfId="0" applyFont="1" applyAlignment="1">
      <alignment vertical="center"/>
    </xf>
    <xf numFmtId="0" fontId="30" fillId="14" borderId="173" xfId="0" applyFont="1" applyFill="1" applyBorder="1" applyAlignment="1">
      <alignment vertical="center"/>
    </xf>
    <xf numFmtId="1" fontId="30" fillId="0" borderId="0" xfId="0" applyNumberFormat="1" applyFont="1" applyAlignment="1">
      <alignment horizontal="center" vertical="center"/>
    </xf>
    <xf numFmtId="9" fontId="30" fillId="0" borderId="23" xfId="1" applyFont="1" applyFill="1" applyBorder="1" applyAlignment="1">
      <alignment horizontal="center" vertical="center"/>
    </xf>
    <xf numFmtId="1" fontId="30" fillId="0" borderId="162" xfId="0" applyNumberFormat="1" applyFont="1" applyBorder="1" applyAlignment="1">
      <alignment horizontal="center" vertical="center"/>
    </xf>
    <xf numFmtId="9" fontId="30" fillId="0" borderId="162" xfId="1" applyFont="1" applyFill="1" applyBorder="1" applyAlignment="1">
      <alignment horizontal="center" vertical="center"/>
    </xf>
    <xf numFmtId="3" fontId="30" fillId="57" borderId="0" xfId="0" applyNumberFormat="1" applyFont="1" applyFill="1" applyAlignment="1">
      <alignment horizontal="center" vertical="center"/>
    </xf>
    <xf numFmtId="1" fontId="30" fillId="57" borderId="0" xfId="0" applyNumberFormat="1" applyFont="1" applyFill="1" applyAlignment="1">
      <alignment horizontal="center" vertical="center"/>
    </xf>
    <xf numFmtId="168" fontId="8" fillId="57" borderId="167" xfId="0" applyNumberFormat="1" applyFont="1" applyFill="1" applyBorder="1" applyAlignment="1">
      <alignment horizontal="center" vertical="center"/>
    </xf>
    <xf numFmtId="0" fontId="38" fillId="14" borderId="0" xfId="0" applyFont="1" applyFill="1" applyAlignment="1">
      <alignment horizontal="center" vertical="center"/>
    </xf>
    <xf numFmtId="165" fontId="49" fillId="58" borderId="30" xfId="0" applyNumberFormat="1" applyFont="1" applyFill="1" applyBorder="1" applyAlignment="1">
      <alignment horizontal="center" vertical="center"/>
    </xf>
    <xf numFmtId="9" fontId="41" fillId="0" borderId="123" xfId="1" applyFont="1" applyBorder="1" applyAlignment="1" applyProtection="1">
      <alignment horizontal="center" vertical="center"/>
      <protection locked="0"/>
    </xf>
    <xf numFmtId="3" fontId="12" fillId="0" borderId="67" xfId="0" applyNumberFormat="1" applyFont="1" applyBorder="1" applyAlignment="1">
      <alignment horizontal="center" vertical="center"/>
    </xf>
    <xf numFmtId="0" fontId="30" fillId="0" borderId="23" xfId="0" applyFont="1" applyBorder="1" applyAlignment="1">
      <alignment horizontal="center" vertical="center"/>
    </xf>
    <xf numFmtId="0" fontId="30" fillId="0" borderId="180" xfId="0" applyFont="1" applyBorder="1" applyAlignment="1">
      <alignment horizontal="center" vertical="center"/>
    </xf>
    <xf numFmtId="3" fontId="9" fillId="0" borderId="165" xfId="0" applyNumberFormat="1" applyFont="1" applyBorder="1" applyAlignment="1">
      <alignment horizontal="center" vertical="center"/>
    </xf>
    <xf numFmtId="3" fontId="9" fillId="0" borderId="0" xfId="0" applyNumberFormat="1" applyFont="1" applyAlignment="1">
      <alignment horizontal="center" vertical="center"/>
    </xf>
    <xf numFmtId="0" fontId="241" fillId="0" borderId="0" xfId="0" applyFont="1" applyAlignment="1">
      <alignment vertical="center"/>
    </xf>
    <xf numFmtId="0" fontId="8" fillId="0" borderId="23" xfId="0" applyFont="1" applyBorder="1" applyAlignment="1">
      <alignment horizontal="center" vertical="center"/>
    </xf>
    <xf numFmtId="0" fontId="30" fillId="0" borderId="23" xfId="0" applyFont="1" applyBorder="1" applyAlignment="1">
      <alignment horizontal="right" vertical="center"/>
    </xf>
    <xf numFmtId="0" fontId="9" fillId="0" borderId="23" xfId="0" applyFont="1" applyBorder="1" applyAlignment="1">
      <alignment horizontal="right" vertical="center"/>
    </xf>
    <xf numFmtId="0" fontId="9" fillId="57" borderId="23" xfId="0" applyFont="1" applyFill="1" applyBorder="1" applyAlignment="1">
      <alignment horizontal="right" vertical="center"/>
    </xf>
    <xf numFmtId="0" fontId="9" fillId="57" borderId="23" xfId="0" quotePrefix="1" applyFont="1" applyFill="1" applyBorder="1" applyAlignment="1">
      <alignment horizontal="right" vertical="center"/>
    </xf>
    <xf numFmtId="0" fontId="30" fillId="0" borderId="23" xfId="0" applyFont="1" applyBorder="1" applyAlignment="1">
      <alignment vertical="center"/>
    </xf>
    <xf numFmtId="0" fontId="30" fillId="14" borderId="162" xfId="0" applyFont="1" applyFill="1" applyBorder="1" applyAlignment="1">
      <alignment horizontal="right" vertical="center"/>
    </xf>
    <xf numFmtId="0" fontId="30" fillId="14" borderId="168" xfId="0" applyFont="1" applyFill="1" applyBorder="1" applyAlignment="1">
      <alignment horizontal="right" vertical="center"/>
    </xf>
    <xf numFmtId="0" fontId="30" fillId="14" borderId="173" xfId="0" applyFont="1" applyFill="1" applyBorder="1" applyAlignment="1">
      <alignment horizontal="right" vertical="center"/>
    </xf>
    <xf numFmtId="0" fontId="8" fillId="0" borderId="181" xfId="0" applyFont="1" applyBorder="1" applyAlignment="1">
      <alignment horizontal="center" vertical="center"/>
    </xf>
    <xf numFmtId="0" fontId="30" fillId="0" borderId="181" xfId="0" applyFont="1" applyBorder="1" applyAlignment="1">
      <alignment horizontal="center" vertical="center"/>
    </xf>
    <xf numFmtId="3" fontId="9"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7" fillId="0" borderId="165" xfId="0" applyNumberFormat="1" applyFont="1" applyBorder="1" applyAlignment="1">
      <alignment horizontal="center" vertical="center"/>
    </xf>
    <xf numFmtId="3" fontId="29" fillId="0" borderId="165" xfId="0" applyNumberFormat="1" applyFont="1" applyBorder="1" applyAlignment="1">
      <alignment horizontal="center" vertical="center"/>
    </xf>
    <xf numFmtId="168" fontId="9" fillId="0" borderId="165" xfId="0" applyNumberFormat="1" applyFont="1" applyBorder="1" applyAlignment="1">
      <alignment horizontal="center" vertical="center"/>
    </xf>
    <xf numFmtId="168" fontId="9" fillId="57" borderId="165" xfId="0" applyNumberFormat="1" applyFont="1" applyFill="1" applyBorder="1" applyAlignment="1">
      <alignment horizontal="center" vertical="center"/>
    </xf>
    <xf numFmtId="1" fontId="9" fillId="0" borderId="165" xfId="0" applyNumberFormat="1" applyFont="1" applyBorder="1" applyAlignment="1">
      <alignment horizontal="center" vertical="center"/>
    </xf>
    <xf numFmtId="3" fontId="9" fillId="14" borderId="162" xfId="0" applyNumberFormat="1" applyFont="1" applyFill="1" applyBorder="1" applyAlignment="1">
      <alignment horizontal="center" vertical="center"/>
    </xf>
    <xf numFmtId="3" fontId="9" fillId="14" borderId="166" xfId="0" applyNumberFormat="1" applyFont="1" applyFill="1" applyBorder="1" applyAlignment="1">
      <alignment horizontal="center" vertical="center"/>
    </xf>
    <xf numFmtId="3" fontId="9" fillId="14" borderId="172" xfId="0" applyNumberFormat="1" applyFont="1" applyFill="1" applyBorder="1" applyAlignment="1">
      <alignment horizontal="center" vertical="center"/>
    </xf>
    <xf numFmtId="3" fontId="9" fillId="14" borderId="168" xfId="0" applyNumberFormat="1" applyFont="1" applyFill="1" applyBorder="1" applyAlignment="1">
      <alignment horizontal="center" vertical="center"/>
    </xf>
    <xf numFmtId="3" fontId="9" fillId="14" borderId="170" xfId="0" applyNumberFormat="1" applyFont="1" applyFill="1" applyBorder="1" applyAlignment="1">
      <alignment horizontal="center" vertical="center"/>
    </xf>
    <xf numFmtId="9" fontId="9" fillId="14" borderId="166" xfId="1" applyFont="1" applyFill="1" applyBorder="1" applyAlignment="1">
      <alignment horizontal="center" vertical="center"/>
    </xf>
    <xf numFmtId="166" fontId="9" fillId="0" borderId="166" xfId="1" applyNumberFormat="1" applyFont="1" applyFill="1" applyBorder="1" applyAlignment="1">
      <alignment horizontal="center" vertical="center"/>
    </xf>
    <xf numFmtId="10" fontId="9" fillId="0" borderId="166" xfId="1" applyNumberFormat="1" applyFont="1" applyFill="1" applyBorder="1" applyAlignment="1">
      <alignment horizontal="center" vertical="center"/>
    </xf>
    <xf numFmtId="3" fontId="9" fillId="14" borderId="173" xfId="0" applyNumberFormat="1" applyFont="1" applyFill="1" applyBorder="1" applyAlignment="1">
      <alignment horizontal="center" vertical="center"/>
    </xf>
    <xf numFmtId="168" fontId="29" fillId="57" borderId="165" xfId="0" applyNumberFormat="1" applyFont="1" applyFill="1" applyBorder="1" applyAlignment="1">
      <alignment horizontal="center" vertical="center"/>
    </xf>
    <xf numFmtId="1" fontId="9" fillId="0" borderId="0" xfId="0" applyNumberFormat="1" applyFont="1" applyAlignment="1">
      <alignment horizontal="center" vertical="center"/>
    </xf>
    <xf numFmtId="0" fontId="5" fillId="0" borderId="140" xfId="4" applyFont="1" applyBorder="1" applyAlignment="1">
      <alignment horizontal="right" vertical="center"/>
    </xf>
    <xf numFmtId="0" fontId="0" fillId="0" borderId="140" xfId="0" applyBorder="1" applyAlignment="1">
      <alignment vertical="center"/>
    </xf>
    <xf numFmtId="0" fontId="239" fillId="0" borderId="23" xfId="4" applyFont="1" applyAlignment="1">
      <alignment vertical="center"/>
    </xf>
    <xf numFmtId="0" fontId="240" fillId="0" borderId="23" xfId="4" applyFont="1" applyAlignment="1">
      <alignment horizontal="right" vertical="center"/>
    </xf>
    <xf numFmtId="0" fontId="9" fillId="0" borderId="144" xfId="0" applyFont="1" applyBorder="1" applyAlignment="1">
      <alignment horizontal="right" vertical="center"/>
    </xf>
    <xf numFmtId="0" fontId="239" fillId="0" borderId="144" xfId="4" applyFont="1" applyBorder="1" applyAlignment="1">
      <alignment vertical="center"/>
    </xf>
    <xf numFmtId="0" fontId="0" fillId="0" borderId="144" xfId="0" applyBorder="1" applyAlignment="1">
      <alignment vertical="center"/>
    </xf>
    <xf numFmtId="0" fontId="5" fillId="0" borderId="146" xfId="4" applyFont="1" applyBorder="1" applyAlignment="1">
      <alignment horizontal="right" vertical="center"/>
    </xf>
    <xf numFmtId="0" fontId="0" fillId="0" borderId="146" xfId="0" applyBorder="1" applyAlignment="1">
      <alignment vertical="center"/>
    </xf>
    <xf numFmtId="0" fontId="9" fillId="0" borderId="147" xfId="0" applyFont="1" applyBorder="1" applyAlignment="1">
      <alignment horizontal="right" vertical="center"/>
    </xf>
    <xf numFmtId="0" fontId="239" fillId="0" borderId="147" xfId="4" applyFont="1" applyBorder="1" applyAlignment="1">
      <alignment vertical="center"/>
    </xf>
    <xf numFmtId="0" fontId="0" fillId="0" borderId="147" xfId="0" applyBorder="1" applyAlignment="1">
      <alignment vertical="center"/>
    </xf>
    <xf numFmtId="0" fontId="9" fillId="0" borderId="167" xfId="0" applyFont="1" applyBorder="1" applyAlignment="1">
      <alignment horizontal="center" vertical="center"/>
    </xf>
    <xf numFmtId="3" fontId="9" fillId="0" borderId="182" xfId="0" applyNumberFormat="1" applyFont="1" applyBorder="1" applyAlignment="1">
      <alignment horizontal="center" vertical="center"/>
    </xf>
    <xf numFmtId="3" fontId="9" fillId="0" borderId="167" xfId="0" applyNumberFormat="1" applyFont="1" applyBorder="1" applyAlignment="1">
      <alignment horizontal="center" vertical="center"/>
    </xf>
    <xf numFmtId="0" fontId="32" fillId="0" borderId="0" xfId="0" applyFont="1" applyAlignment="1">
      <alignment vertical="center"/>
    </xf>
    <xf numFmtId="0" fontId="29" fillId="57" borderId="141" xfId="0" applyFont="1" applyFill="1" applyBorder="1" applyAlignment="1">
      <alignment horizontal="right" vertical="center"/>
    </xf>
    <xf numFmtId="168" fontId="29" fillId="57" borderId="167" xfId="0" applyNumberFormat="1" applyFont="1" applyFill="1" applyBorder="1" applyAlignment="1">
      <alignment horizontal="center" vertical="center"/>
    </xf>
    <xf numFmtId="0" fontId="29" fillId="57" borderId="140" xfId="0" applyFont="1" applyFill="1" applyBorder="1" applyAlignment="1">
      <alignment vertical="center"/>
    </xf>
    <xf numFmtId="1" fontId="29" fillId="57" borderId="140" xfId="0" applyNumberFormat="1" applyFont="1" applyFill="1" applyBorder="1" applyAlignment="1">
      <alignment horizontal="center" vertical="center"/>
    </xf>
    <xf numFmtId="168" fontId="9" fillId="0" borderId="23" xfId="0" applyNumberFormat="1" applyFont="1" applyBorder="1" applyAlignment="1">
      <alignment horizontal="right" vertical="center"/>
    </xf>
    <xf numFmtId="3" fontId="9" fillId="57" borderId="165" xfId="0" applyNumberFormat="1" applyFont="1" applyFill="1" applyBorder="1" applyAlignment="1">
      <alignment horizontal="center" vertical="center"/>
    </xf>
    <xf numFmtId="0" fontId="9" fillId="57" borderId="0" xfId="0" applyFont="1" applyFill="1" applyAlignment="1">
      <alignment vertical="center"/>
    </xf>
    <xf numFmtId="1" fontId="9" fillId="57" borderId="0" xfId="0" applyNumberFormat="1" applyFont="1" applyFill="1" applyAlignment="1">
      <alignment horizontal="center" vertical="center"/>
    </xf>
    <xf numFmtId="9" fontId="9" fillId="57" borderId="23" xfId="1" applyFont="1" applyFill="1" applyBorder="1" applyAlignment="1">
      <alignment horizontal="center" vertical="center"/>
    </xf>
    <xf numFmtId="9" fontId="30" fillId="57" borderId="23" xfId="1" applyFont="1" applyFill="1" applyBorder="1" applyAlignment="1">
      <alignment horizontal="center" vertical="center"/>
    </xf>
    <xf numFmtId="0" fontId="196" fillId="57" borderId="142" xfId="0" applyFont="1" applyFill="1" applyBorder="1" applyAlignment="1">
      <alignment horizontal="right" vertical="center"/>
    </xf>
    <xf numFmtId="3" fontId="196" fillId="57" borderId="165" xfId="0" applyNumberFormat="1" applyFont="1" applyFill="1" applyBorder="1" applyAlignment="1">
      <alignment horizontal="center" vertical="center"/>
    </xf>
    <xf numFmtId="0" fontId="195" fillId="57" borderId="0" xfId="0" applyFont="1" applyFill="1" applyAlignment="1">
      <alignment vertical="center"/>
    </xf>
    <xf numFmtId="1" fontId="195" fillId="57" borderId="0" xfId="0" applyNumberFormat="1" applyFont="1" applyFill="1" applyAlignment="1">
      <alignment horizontal="center" vertical="center"/>
    </xf>
    <xf numFmtId="9" fontId="195" fillId="57" borderId="23" xfId="1" applyFont="1" applyFill="1" applyBorder="1" applyAlignment="1">
      <alignment horizontal="center" vertical="center"/>
    </xf>
    <xf numFmtId="0" fontId="195" fillId="57" borderId="163" xfId="0" applyFont="1" applyFill="1" applyBorder="1" applyAlignment="1">
      <alignment vertical="center"/>
    </xf>
    <xf numFmtId="1" fontId="195" fillId="57" borderId="163" xfId="0" applyNumberFormat="1" applyFont="1" applyFill="1" applyBorder="1" applyAlignment="1">
      <alignment horizontal="center" vertical="center"/>
    </xf>
    <xf numFmtId="9" fontId="195" fillId="57" borderId="163" xfId="1" applyFont="1" applyFill="1" applyBorder="1" applyAlignment="1">
      <alignment horizontal="center" vertical="center"/>
    </xf>
    <xf numFmtId="0" fontId="215" fillId="57" borderId="141" xfId="0" applyFont="1" applyFill="1" applyBorder="1" applyAlignment="1">
      <alignment horizontal="right" vertical="center"/>
    </xf>
    <xf numFmtId="3" fontId="215" fillId="57" borderId="167" xfId="0" applyNumberFormat="1" applyFont="1" applyFill="1" applyBorder="1" applyAlignment="1">
      <alignment horizontal="center" vertical="center"/>
    </xf>
    <xf numFmtId="0" fontId="215" fillId="57" borderId="140" xfId="0" applyFont="1" applyFill="1" applyBorder="1" applyAlignment="1">
      <alignment vertical="center"/>
    </xf>
    <xf numFmtId="0" fontId="215" fillId="57" borderId="0" xfId="0" applyFont="1" applyFill="1" applyAlignment="1">
      <alignment vertical="center"/>
    </xf>
    <xf numFmtId="1" fontId="215" fillId="57" borderId="0" xfId="0" applyNumberFormat="1" applyFont="1" applyFill="1" applyAlignment="1">
      <alignment horizontal="center" vertical="center"/>
    </xf>
    <xf numFmtId="9" fontId="215" fillId="57" borderId="0" xfId="1" applyFont="1" applyFill="1" applyAlignment="1">
      <alignment horizontal="center" vertical="center"/>
    </xf>
    <xf numFmtId="3" fontId="9" fillId="57" borderId="183" xfId="0" applyNumberFormat="1" applyFont="1" applyFill="1" applyBorder="1" applyAlignment="1">
      <alignment horizontal="center" vertical="center"/>
    </xf>
    <xf numFmtId="3" fontId="9" fillId="57" borderId="177" xfId="0" applyNumberFormat="1" applyFont="1" applyFill="1" applyBorder="1" applyAlignment="1">
      <alignment horizontal="center" vertical="center"/>
    </xf>
    <xf numFmtId="0" fontId="9" fillId="57" borderId="169" xfId="0" applyFont="1" applyFill="1" applyBorder="1" applyAlignment="1">
      <alignment horizontal="right" vertical="center"/>
    </xf>
    <xf numFmtId="168" fontId="9" fillId="57" borderId="170" xfId="0" applyNumberFormat="1" applyFont="1" applyFill="1" applyBorder="1" applyAlignment="1">
      <alignment horizontal="center" vertical="center"/>
    </xf>
    <xf numFmtId="0" fontId="30" fillId="57" borderId="168" xfId="0" applyFont="1" applyFill="1" applyBorder="1" applyAlignment="1">
      <alignment vertical="center"/>
    </xf>
    <xf numFmtId="1" fontId="30" fillId="57" borderId="168" xfId="0" applyNumberFormat="1" applyFont="1" applyFill="1" applyBorder="1" applyAlignment="1">
      <alignment horizontal="center" vertical="center"/>
    </xf>
    <xf numFmtId="0" fontId="6" fillId="0" borderId="168" xfId="4" applyBorder="1" applyAlignment="1">
      <alignment horizontal="right" vertical="center"/>
    </xf>
    <xf numFmtId="3" fontId="6" fillId="57" borderId="170" xfId="4" applyNumberFormat="1" applyFill="1" applyBorder="1" applyAlignment="1">
      <alignment horizontal="center" vertical="center"/>
    </xf>
    <xf numFmtId="0" fontId="239" fillId="0" borderId="168" xfId="4" applyFont="1" applyBorder="1" applyAlignment="1">
      <alignment vertical="center"/>
    </xf>
    <xf numFmtId="0" fontId="0" fillId="0" borderId="168" xfId="0" applyBorder="1" applyAlignment="1">
      <alignment vertical="center"/>
    </xf>
    <xf numFmtId="0" fontId="239" fillId="0" borderId="168" xfId="4" applyFont="1" applyBorder="1" applyAlignment="1">
      <alignment horizontal="right" vertical="center"/>
    </xf>
    <xf numFmtId="0" fontId="5" fillId="0" borderId="168" xfId="4" applyFont="1" applyBorder="1" applyAlignment="1">
      <alignment horizontal="right"/>
    </xf>
    <xf numFmtId="3" fontId="26" fillId="57" borderId="170" xfId="0" applyNumberFormat="1" applyFont="1" applyFill="1" applyBorder="1" applyAlignment="1">
      <alignment horizontal="center" vertical="center"/>
    </xf>
    <xf numFmtId="0" fontId="6" fillId="0" borderId="168" xfId="4" applyBorder="1" applyAlignment="1">
      <alignment vertical="center"/>
    </xf>
    <xf numFmtId="0" fontId="6" fillId="57" borderId="170" xfId="4" applyFill="1" applyBorder="1" applyAlignment="1">
      <alignment horizontal="center"/>
    </xf>
    <xf numFmtId="0" fontId="6" fillId="0" borderId="168" xfId="4" applyBorder="1"/>
    <xf numFmtId="0" fontId="30" fillId="0" borderId="168" xfId="0" applyFont="1" applyBorder="1" applyAlignment="1">
      <alignment horizontal="right" vertical="center"/>
    </xf>
    <xf numFmtId="0" fontId="5" fillId="0" borderId="168" xfId="4" applyFont="1" applyBorder="1" applyAlignment="1">
      <alignment vertical="center"/>
    </xf>
    <xf numFmtId="0" fontId="30" fillId="0" borderId="168" xfId="0" applyFont="1" applyBorder="1" applyAlignment="1">
      <alignment vertical="center"/>
    </xf>
    <xf numFmtId="0" fontId="240" fillId="0" borderId="145" xfId="4" applyFont="1" applyBorder="1" applyAlignment="1">
      <alignment horizontal="right" vertical="center"/>
    </xf>
    <xf numFmtId="3" fontId="30" fillId="0" borderId="170" xfId="0" applyNumberFormat="1" applyFont="1" applyBorder="1" applyAlignment="1">
      <alignment horizontal="center" vertical="center"/>
    </xf>
    <xf numFmtId="3" fontId="9" fillId="0" borderId="170" xfId="0" applyNumberFormat="1" applyFont="1" applyBorder="1" applyAlignment="1">
      <alignment horizontal="center" vertical="center"/>
    </xf>
    <xf numFmtId="0" fontId="203" fillId="56" borderId="175" xfId="0" applyFont="1" applyFill="1" applyBorder="1" applyAlignment="1">
      <alignment horizontal="right" vertical="center"/>
    </xf>
    <xf numFmtId="3" fontId="203" fillId="56" borderId="175" xfId="0" applyNumberFormat="1" applyFont="1" applyFill="1" applyBorder="1" applyAlignment="1">
      <alignment horizontal="center" vertical="center"/>
    </xf>
    <xf numFmtId="0" fontId="203" fillId="56" borderId="139" xfId="0" applyFont="1" applyFill="1" applyBorder="1" applyAlignment="1">
      <alignment horizontal="left" vertical="center"/>
    </xf>
    <xf numFmtId="0" fontId="247" fillId="56" borderId="140" xfId="0" applyFont="1" applyFill="1" applyBorder="1" applyAlignment="1">
      <alignment vertical="center"/>
    </xf>
    <xf numFmtId="0" fontId="247" fillId="56" borderId="141" xfId="0" applyFont="1" applyFill="1" applyBorder="1" applyAlignment="1">
      <alignment vertical="center"/>
    </xf>
    <xf numFmtId="0" fontId="244" fillId="56" borderId="188" xfId="4" applyFont="1" applyFill="1" applyBorder="1" applyAlignment="1">
      <alignment horizontal="right" vertical="center"/>
    </xf>
    <xf numFmtId="1" fontId="244" fillId="56" borderId="188" xfId="4" applyNumberFormat="1" applyFont="1" applyFill="1" applyBorder="1" applyAlignment="1">
      <alignment horizontal="center" vertical="center"/>
    </xf>
    <xf numFmtId="0" fontId="244" fillId="56" borderId="189" xfId="4" applyFont="1" applyFill="1" applyBorder="1" applyAlignment="1">
      <alignment vertical="center"/>
    </xf>
    <xf numFmtId="0" fontId="203" fillId="56" borderId="168" xfId="0" applyFont="1" applyFill="1" applyBorder="1" applyAlignment="1">
      <alignment vertical="center"/>
    </xf>
    <xf numFmtId="0" fontId="203" fillId="56" borderId="169" xfId="0" applyFont="1" applyFill="1" applyBorder="1" applyAlignment="1">
      <alignment vertical="center"/>
    </xf>
    <xf numFmtId="0" fontId="244" fillId="56" borderId="176" xfId="4" applyFont="1" applyFill="1" applyBorder="1" applyAlignment="1">
      <alignment horizontal="right" vertical="center"/>
    </xf>
    <xf numFmtId="0" fontId="244" fillId="56" borderId="143" xfId="4" applyFont="1" applyFill="1" applyBorder="1" applyAlignment="1">
      <alignment vertical="center"/>
    </xf>
    <xf numFmtId="0" fontId="203" fillId="56" borderId="144" xfId="0" applyFont="1" applyFill="1" applyBorder="1" applyAlignment="1">
      <alignment vertical="center"/>
    </xf>
    <xf numFmtId="0" fontId="203" fillId="56" borderId="145" xfId="0" applyFont="1" applyFill="1" applyBorder="1" applyAlignment="1">
      <alignment vertical="center"/>
    </xf>
    <xf numFmtId="0" fontId="245" fillId="56" borderId="174" xfId="4" applyFont="1" applyFill="1" applyBorder="1" applyAlignment="1">
      <alignment horizontal="right" vertical="center"/>
    </xf>
    <xf numFmtId="166" fontId="215" fillId="56" borderId="176" xfId="1" applyNumberFormat="1" applyFont="1" applyFill="1" applyBorder="1" applyAlignment="1">
      <alignment horizontal="center" vertical="center"/>
    </xf>
    <xf numFmtId="0" fontId="32" fillId="14" borderId="0" xfId="0" applyFont="1" applyFill="1" applyAlignment="1">
      <alignment vertical="center"/>
    </xf>
    <xf numFmtId="0" fontId="159" fillId="0" borderId="57" xfId="0" applyFont="1" applyBorder="1" applyAlignment="1">
      <alignment vertical="center"/>
    </xf>
    <xf numFmtId="0" fontId="157" fillId="14" borderId="23" xfId="0" applyFont="1" applyFill="1" applyBorder="1" applyAlignment="1">
      <alignment vertical="center"/>
    </xf>
    <xf numFmtId="0" fontId="157" fillId="0" borderId="59" xfId="0" applyFont="1" applyBorder="1" applyAlignment="1">
      <alignment vertical="center"/>
    </xf>
    <xf numFmtId="0" fontId="157" fillId="0" borderId="60" xfId="0" applyFont="1" applyBorder="1" applyAlignment="1">
      <alignment vertical="center"/>
    </xf>
    <xf numFmtId="9" fontId="157" fillId="0" borderId="30" xfId="1" applyFont="1" applyBorder="1" applyAlignment="1">
      <alignment vertical="center"/>
    </xf>
    <xf numFmtId="0" fontId="157" fillId="0" borderId="0" xfId="0" applyFont="1" applyAlignment="1">
      <alignment horizontal="center" vertical="center"/>
    </xf>
    <xf numFmtId="0" fontId="157" fillId="0" borderId="0" xfId="0" applyFont="1" applyAlignment="1">
      <alignment vertical="center"/>
    </xf>
    <xf numFmtId="168" fontId="9" fillId="57" borderId="190" xfId="0" applyNumberFormat="1" applyFont="1" applyFill="1" applyBorder="1" applyAlignment="1">
      <alignment horizontal="center" vertical="center"/>
    </xf>
    <xf numFmtId="9" fontId="4" fillId="57" borderId="170" xfId="1" applyFont="1" applyFill="1" applyBorder="1" applyAlignment="1">
      <alignment horizontal="center" vertical="center"/>
    </xf>
    <xf numFmtId="0" fontId="30" fillId="0" borderId="0" xfId="0" applyFont="1" applyAlignment="1">
      <alignment horizontal="right" vertical="center"/>
    </xf>
    <xf numFmtId="3" fontId="0" fillId="0" borderId="165" xfId="0" applyNumberFormat="1" applyBorder="1" applyAlignment="1">
      <alignment horizontal="center" vertical="center"/>
    </xf>
    <xf numFmtId="0" fontId="4" fillId="0" borderId="168" xfId="4" applyFont="1" applyBorder="1" applyAlignment="1">
      <alignment vertical="center"/>
    </xf>
    <xf numFmtId="0" fontId="203" fillId="16" borderId="137" xfId="0" applyFont="1" applyFill="1" applyBorder="1" applyAlignment="1">
      <alignment horizontal="center" vertical="center"/>
    </xf>
    <xf numFmtId="0" fontId="203" fillId="16" borderId="138" xfId="0" applyFont="1" applyFill="1" applyBorder="1" applyAlignment="1">
      <alignment horizontal="center" vertical="center"/>
    </xf>
    <xf numFmtId="0" fontId="201" fillId="16" borderId="132" xfId="0" applyFont="1" applyFill="1" applyBorder="1" applyAlignment="1">
      <alignment vertical="center"/>
    </xf>
    <xf numFmtId="0" fontId="61" fillId="29" borderId="134" xfId="0" applyFont="1" applyFill="1" applyBorder="1" applyAlignment="1">
      <alignment vertical="center"/>
    </xf>
    <xf numFmtId="0" fontId="59" fillId="0" borderId="120" xfId="0" applyFont="1" applyBorder="1" applyAlignment="1">
      <alignment vertical="center"/>
    </xf>
    <xf numFmtId="0" fontId="162" fillId="29" borderId="134" xfId="0" applyFont="1" applyFill="1" applyBorder="1" applyAlignment="1">
      <alignment vertical="center" wrapText="1"/>
    </xf>
    <xf numFmtId="0" fontId="61" fillId="29" borderId="120" xfId="0" applyFont="1" applyFill="1" applyBorder="1" applyAlignment="1">
      <alignment vertical="center"/>
    </xf>
    <xf numFmtId="0" fontId="59" fillId="0" borderId="129" xfId="0" applyFont="1" applyBorder="1" applyAlignment="1">
      <alignment vertical="center" wrapText="1"/>
    </xf>
    <xf numFmtId="0" fontId="162" fillId="29" borderId="134" xfId="0" applyFont="1" applyFill="1" applyBorder="1" applyAlignment="1">
      <alignment vertical="center"/>
    </xf>
    <xf numFmtId="0" fontId="59" fillId="0" borderId="129" xfId="0" applyFont="1" applyBorder="1" applyAlignment="1">
      <alignment vertical="center"/>
    </xf>
    <xf numFmtId="10" fontId="40" fillId="0" borderId="108" xfId="0" applyNumberFormat="1" applyFont="1" applyBorder="1" applyAlignment="1">
      <alignment horizontal="center" vertical="center"/>
    </xf>
    <xf numFmtId="9" fontId="40" fillId="0" borderId="108" xfId="0" applyNumberFormat="1" applyFont="1" applyBorder="1" applyAlignment="1">
      <alignment horizontal="center" vertical="center"/>
    </xf>
    <xf numFmtId="166" fontId="40" fillId="14" borderId="108" xfId="0" applyNumberFormat="1" applyFont="1" applyFill="1" applyBorder="1" applyAlignment="1">
      <alignment horizontal="center" vertical="center"/>
    </xf>
    <xf numFmtId="0" fontId="40" fillId="0" borderId="115" xfId="0" applyFont="1" applyBorder="1" applyAlignment="1">
      <alignment horizontal="center" vertical="center"/>
    </xf>
    <xf numFmtId="10" fontId="121" fillId="0" borderId="111" xfId="0" applyNumberFormat="1" applyFont="1" applyBorder="1" applyAlignment="1">
      <alignment horizontal="center" vertical="center"/>
    </xf>
    <xf numFmtId="0" fontId="163" fillId="29" borderId="125" xfId="0" applyFont="1" applyFill="1" applyBorder="1" applyAlignment="1" applyProtection="1">
      <alignment vertical="center"/>
      <protection locked="0"/>
    </xf>
    <xf numFmtId="165" fontId="199" fillId="0" borderId="23" xfId="0" applyNumberFormat="1" applyFont="1" applyBorder="1" applyAlignment="1" applyProtection="1">
      <alignment horizontal="center" vertical="center"/>
      <protection locked="0"/>
    </xf>
    <xf numFmtId="0" fontId="61" fillId="0" borderId="114" xfId="0" applyFont="1" applyBorder="1" applyAlignment="1">
      <alignment horizontal="center" vertical="center"/>
    </xf>
    <xf numFmtId="0" fontId="200" fillId="0" borderId="114" xfId="0" applyFont="1" applyBorder="1" applyAlignment="1">
      <alignment horizontal="left" vertical="center" wrapText="1"/>
    </xf>
    <xf numFmtId="165" fontId="40" fillId="0" borderId="23" xfId="0" applyNumberFormat="1" applyFont="1" applyBorder="1" applyAlignment="1" applyProtection="1">
      <alignment horizontal="center" vertical="center"/>
      <protection locked="0"/>
    </xf>
    <xf numFmtId="10" fontId="194" fillId="0" borderId="114" xfId="0" applyNumberFormat="1" applyFont="1" applyBorder="1" applyAlignment="1" applyProtection="1">
      <alignment horizontal="center" vertical="center"/>
      <protection locked="0"/>
    </xf>
    <xf numFmtId="0" fontId="194" fillId="0" borderId="114" xfId="0" applyFont="1" applyBorder="1" applyAlignment="1" applyProtection="1">
      <alignment horizontal="center" vertical="center"/>
      <protection locked="0"/>
    </xf>
    <xf numFmtId="0" fontId="201" fillId="0" borderId="114" xfId="0" applyFont="1" applyBorder="1" applyAlignment="1">
      <alignment vertical="center"/>
    </xf>
    <xf numFmtId="0" fontId="201" fillId="0" borderId="195" xfId="0" applyFont="1" applyBorder="1" applyAlignment="1">
      <alignment vertical="center"/>
    </xf>
    <xf numFmtId="0" fontId="63" fillId="0" borderId="120" xfId="0" applyFont="1" applyBorder="1" applyAlignment="1">
      <alignment horizontal="left" vertical="center"/>
    </xf>
    <xf numFmtId="10" fontId="40" fillId="0" borderId="108" xfId="1" applyNumberFormat="1" applyFont="1" applyFill="1" applyBorder="1" applyAlignment="1" applyProtection="1">
      <alignment horizontal="center" vertical="center"/>
      <protection locked="0"/>
    </xf>
    <xf numFmtId="0" fontId="163" fillId="29" borderId="196" xfId="0" applyFont="1" applyFill="1" applyBorder="1" applyAlignment="1" applyProtection="1">
      <alignment horizontal="center" vertical="center"/>
      <protection locked="0"/>
    </xf>
    <xf numFmtId="0" fontId="61" fillId="29" borderId="197" xfId="0" applyFont="1" applyFill="1" applyBorder="1" applyAlignment="1">
      <alignment horizontal="center" vertical="center"/>
    </xf>
    <xf numFmtId="10" fontId="40" fillId="0" borderId="198" xfId="0" applyNumberFormat="1" applyFont="1" applyBorder="1" applyAlignment="1">
      <alignment horizontal="center" vertical="center"/>
    </xf>
    <xf numFmtId="9" fontId="40" fillId="0" borderId="198" xfId="0" applyNumberFormat="1" applyFont="1" applyBorder="1" applyAlignment="1">
      <alignment horizontal="center" vertical="center"/>
    </xf>
    <xf numFmtId="166" fontId="40" fillId="11" borderId="198" xfId="0" applyNumberFormat="1" applyFont="1" applyFill="1" applyBorder="1" applyAlignment="1">
      <alignment horizontal="center" vertical="center"/>
    </xf>
    <xf numFmtId="0" fontId="161" fillId="29" borderId="199" xfId="0" applyFont="1" applyFill="1" applyBorder="1" applyAlignment="1" applyProtection="1">
      <alignment horizontal="center" vertical="center"/>
      <protection locked="0"/>
    </xf>
    <xf numFmtId="0" fontId="61" fillId="29" borderId="198" xfId="0" applyFont="1" applyFill="1" applyBorder="1" applyAlignment="1">
      <alignment horizontal="center" vertical="center"/>
    </xf>
    <xf numFmtId="10" fontId="40" fillId="0" borderId="198" xfId="1" applyNumberFormat="1" applyFont="1" applyFill="1" applyBorder="1" applyAlignment="1" applyProtection="1">
      <alignment horizontal="center" vertical="center"/>
      <protection locked="0"/>
    </xf>
    <xf numFmtId="0" fontId="40" fillId="0" borderId="165" xfId="0" applyFont="1" applyBorder="1" applyAlignment="1">
      <alignment vertical="center"/>
    </xf>
    <xf numFmtId="0" fontId="162" fillId="29" borderId="197" xfId="0" applyFont="1" applyFill="1" applyBorder="1" applyAlignment="1">
      <alignment horizontal="center" vertical="center"/>
    </xf>
    <xf numFmtId="166" fontId="40" fillId="0" borderId="198" xfId="0" applyNumberFormat="1" applyFont="1" applyBorder="1" applyAlignment="1">
      <alignment horizontal="center" vertical="center"/>
    </xf>
    <xf numFmtId="10" fontId="121" fillId="0" borderId="198" xfId="0" applyNumberFormat="1" applyFont="1" applyBorder="1" applyAlignment="1">
      <alignment horizontal="center" vertical="center"/>
    </xf>
    <xf numFmtId="1" fontId="121" fillId="0" borderId="198" xfId="0" applyNumberFormat="1" applyFont="1" applyBorder="1" applyAlignment="1">
      <alignment horizontal="center" vertical="center"/>
    </xf>
    <xf numFmtId="9" fontId="40" fillId="2" borderId="198" xfId="0" applyNumberFormat="1" applyFont="1" applyFill="1" applyBorder="1" applyAlignment="1" applyProtection="1">
      <alignment horizontal="center" vertical="center"/>
      <protection locked="0"/>
    </xf>
    <xf numFmtId="9" fontId="40" fillId="2" borderId="200" xfId="0" applyNumberFormat="1" applyFont="1" applyFill="1" applyBorder="1" applyAlignment="1" applyProtection="1">
      <alignment horizontal="center" vertical="center"/>
      <protection locked="0"/>
    </xf>
    <xf numFmtId="0" fontId="48" fillId="29" borderId="197" xfId="0" applyFont="1" applyFill="1" applyBorder="1" applyAlignment="1">
      <alignment horizontal="center" vertical="center"/>
    </xf>
    <xf numFmtId="10" fontId="121" fillId="0" borderId="201" xfId="0" applyNumberFormat="1" applyFont="1" applyBorder="1" applyAlignment="1">
      <alignment horizontal="center" vertical="center"/>
    </xf>
    <xf numFmtId="0" fontId="107" fillId="0" borderId="128" xfId="0" applyFont="1" applyBorder="1" applyAlignment="1">
      <alignment vertical="center"/>
    </xf>
    <xf numFmtId="176" fontId="121" fillId="0" borderId="131" xfId="0" applyNumberFormat="1" applyFont="1" applyBorder="1" applyAlignment="1" applyProtection="1">
      <alignment horizontal="center" vertical="center"/>
      <protection locked="0"/>
    </xf>
    <xf numFmtId="176" fontId="121" fillId="0" borderId="110" xfId="0" applyNumberFormat="1" applyFont="1" applyBorder="1" applyAlignment="1" applyProtection="1">
      <alignment horizontal="center" vertical="center"/>
      <protection locked="0"/>
    </xf>
    <xf numFmtId="0" fontId="107" fillId="0" borderId="120" xfId="0" applyFont="1" applyBorder="1" applyAlignment="1">
      <alignment horizontal="left" vertical="center"/>
    </xf>
    <xf numFmtId="166" fontId="121" fillId="0" borderId="132" xfId="0" applyNumberFormat="1" applyFont="1" applyBorder="1" applyAlignment="1" applyProtection="1">
      <alignment horizontal="center" vertical="center"/>
      <protection locked="0"/>
    </xf>
    <xf numFmtId="166" fontId="121" fillId="0" borderId="108" xfId="0" applyNumberFormat="1" applyFont="1" applyBorder="1" applyAlignment="1" applyProtection="1">
      <alignment horizontal="center" vertical="center"/>
      <protection locked="0"/>
    </xf>
    <xf numFmtId="176" fontId="121" fillId="0" borderId="132" xfId="0" applyNumberFormat="1" applyFont="1" applyBorder="1" applyAlignment="1" applyProtection="1">
      <alignment horizontal="center" vertical="center"/>
      <protection locked="0"/>
    </xf>
    <xf numFmtId="176" fontId="121" fillId="0" borderId="108" xfId="0" applyNumberFormat="1" applyFont="1" applyBorder="1" applyAlignment="1" applyProtection="1">
      <alignment horizontal="center" vertical="center"/>
      <protection locked="0"/>
    </xf>
    <xf numFmtId="0" fontId="107" fillId="0" borderId="120" xfId="0" applyFont="1" applyBorder="1" applyAlignment="1">
      <alignment horizontal="left" vertical="center" wrapText="1"/>
    </xf>
    <xf numFmtId="165" fontId="121" fillId="0" borderId="132" xfId="0" applyNumberFormat="1" applyFont="1" applyBorder="1" applyAlignment="1" applyProtection="1">
      <alignment horizontal="center" vertical="center"/>
      <protection locked="0"/>
    </xf>
    <xf numFmtId="165" fontId="121" fillId="0" borderId="108" xfId="0" applyNumberFormat="1" applyFont="1" applyBorder="1" applyAlignment="1" applyProtection="1">
      <alignment horizontal="center" vertical="center"/>
      <protection locked="0"/>
    </xf>
    <xf numFmtId="0" fontId="107" fillId="0" borderId="129" xfId="0" applyFont="1" applyBorder="1" applyAlignment="1">
      <alignment horizontal="left" vertical="center"/>
    </xf>
    <xf numFmtId="9" fontId="40" fillId="0" borderId="133" xfId="0" applyNumberFormat="1" applyFont="1" applyBorder="1" applyAlignment="1" applyProtection="1">
      <alignment horizontal="center" vertical="center"/>
      <protection locked="0"/>
    </xf>
    <xf numFmtId="9" fontId="40" fillId="0" borderId="111" xfId="0" applyNumberFormat="1" applyFont="1" applyBorder="1" applyAlignment="1" applyProtection="1">
      <alignment horizontal="center" vertical="center"/>
      <protection locked="0"/>
    </xf>
    <xf numFmtId="0" fontId="163" fillId="60" borderId="191" xfId="0" applyFont="1" applyFill="1" applyBorder="1" applyAlignment="1" applyProtection="1">
      <alignment horizontal="center" vertical="center"/>
      <protection locked="0"/>
    </xf>
    <xf numFmtId="0" fontId="61" fillId="60" borderId="110" xfId="0" applyFont="1" applyFill="1" applyBorder="1" applyAlignment="1">
      <alignment horizontal="center" vertical="center"/>
    </xf>
    <xf numFmtId="0" fontId="161" fillId="60" borderId="191" xfId="0" applyFont="1" applyFill="1" applyBorder="1" applyAlignment="1" applyProtection="1">
      <alignment horizontal="center" vertical="center"/>
      <protection locked="0"/>
    </xf>
    <xf numFmtId="0" fontId="162" fillId="60" borderId="135" xfId="0" applyFont="1" applyFill="1" applyBorder="1" applyAlignment="1">
      <alignment horizontal="center" vertical="center"/>
    </xf>
    <xf numFmtId="0" fontId="48" fillId="60" borderId="135" xfId="0" applyFont="1" applyFill="1" applyBorder="1" applyAlignment="1">
      <alignment horizontal="center" vertical="center"/>
    </xf>
    <xf numFmtId="0" fontId="61" fillId="60" borderId="130" xfId="0" applyFont="1" applyFill="1" applyBorder="1" applyAlignment="1">
      <alignment horizontal="center" vertical="center"/>
    </xf>
    <xf numFmtId="0" fontId="201" fillId="0" borderId="108" xfId="0" applyFont="1" applyBorder="1" applyAlignment="1">
      <alignment vertical="center"/>
    </xf>
    <xf numFmtId="0" fontId="203" fillId="16" borderId="125" xfId="0" applyFont="1" applyFill="1" applyBorder="1" applyAlignment="1">
      <alignment vertical="center"/>
    </xf>
    <xf numFmtId="0" fontId="203" fillId="16" borderId="137" xfId="0" applyFont="1" applyFill="1" applyBorder="1" applyAlignment="1">
      <alignment vertical="center"/>
    </xf>
    <xf numFmtId="0" fontId="162" fillId="29" borderId="136" xfId="0" applyFont="1" applyFill="1" applyBorder="1" applyAlignment="1">
      <alignment horizontal="center" vertical="center"/>
    </xf>
    <xf numFmtId="1" fontId="121" fillId="0" borderId="39" xfId="0" applyNumberFormat="1" applyFont="1" applyBorder="1" applyAlignment="1" applyProtection="1">
      <alignment horizontal="center" vertical="center"/>
      <protection locked="0"/>
    </xf>
    <xf numFmtId="0" fontId="121" fillId="0" borderId="23" xfId="0" applyFont="1" applyBorder="1" applyAlignment="1">
      <alignment horizontal="left" vertical="center"/>
    </xf>
    <xf numFmtId="165" fontId="121" fillId="0" borderId="39" xfId="0" applyNumberFormat="1" applyFont="1" applyBorder="1" applyAlignment="1" applyProtection="1">
      <alignment horizontal="center" vertical="center"/>
      <protection locked="0"/>
    </xf>
    <xf numFmtId="1" fontId="121" fillId="0" borderId="209" xfId="0" applyNumberFormat="1" applyFont="1" applyBorder="1" applyAlignment="1" applyProtection="1">
      <alignment horizontal="center" vertical="center"/>
      <protection locked="0"/>
    </xf>
    <xf numFmtId="0" fontId="121" fillId="0" borderId="210" xfId="0" applyFont="1" applyBorder="1" applyAlignment="1">
      <alignment vertical="center"/>
    </xf>
    <xf numFmtId="0" fontId="40" fillId="0" borderId="210" xfId="0" applyFont="1" applyBorder="1" applyAlignment="1">
      <alignment vertical="center"/>
    </xf>
    <xf numFmtId="0" fontId="40" fillId="0" borderId="211" xfId="0" applyFont="1" applyBorder="1" applyAlignment="1">
      <alignment vertical="center"/>
    </xf>
    <xf numFmtId="169" fontId="43" fillId="0" borderId="212" xfId="0" applyNumberFormat="1" applyFont="1" applyBorder="1" applyAlignment="1">
      <alignment horizontal="center" vertical="center"/>
    </xf>
    <xf numFmtId="0" fontId="43" fillId="0" borderId="219" xfId="0" applyFont="1" applyBorder="1" applyAlignment="1">
      <alignment horizontal="left" vertical="center"/>
    </xf>
    <xf numFmtId="0" fontId="43" fillId="0" borderId="209" xfId="0" applyFont="1" applyBorder="1" applyAlignment="1">
      <alignment horizontal="center" vertical="center"/>
    </xf>
    <xf numFmtId="9" fontId="121" fillId="0" borderId="198" xfId="0" applyNumberFormat="1" applyFont="1" applyBorder="1" applyAlignment="1">
      <alignment horizontal="center" vertical="center"/>
    </xf>
    <xf numFmtId="9" fontId="121" fillId="0" borderId="108" xfId="0" applyNumberFormat="1" applyFont="1" applyBorder="1" applyAlignment="1">
      <alignment horizontal="center" vertical="center"/>
    </xf>
    <xf numFmtId="10" fontId="40" fillId="0" borderId="200" xfId="0" applyNumberFormat="1" applyFont="1" applyBorder="1" applyAlignment="1" applyProtection="1">
      <alignment horizontal="center" vertical="center"/>
      <protection locked="0"/>
    </xf>
    <xf numFmtId="10" fontId="40" fillId="0" borderId="111" xfId="0" applyNumberFormat="1" applyFont="1" applyBorder="1" applyAlignment="1" applyProtection="1">
      <alignment horizontal="center" vertical="center"/>
      <protection locked="0"/>
    </xf>
    <xf numFmtId="0" fontId="172" fillId="0" borderId="214" xfId="0" applyFont="1" applyBorder="1" applyAlignment="1">
      <alignment horizontal="center" vertical="center"/>
    </xf>
    <xf numFmtId="0" fontId="172" fillId="0" borderId="217" xfId="0" applyFont="1" applyBorder="1" applyAlignment="1">
      <alignment horizontal="center" vertical="center"/>
    </xf>
    <xf numFmtId="1" fontId="172" fillId="59" borderId="218" xfId="0" applyNumberFormat="1" applyFont="1" applyFill="1" applyBorder="1" applyAlignment="1" applyProtection="1">
      <alignment horizontal="center" vertical="center"/>
      <protection locked="0"/>
    </xf>
    <xf numFmtId="0" fontId="180" fillId="0" borderId="209" xfId="0" applyFont="1" applyBorder="1" applyAlignment="1">
      <alignment horizontal="center" vertical="center"/>
    </xf>
    <xf numFmtId="1" fontId="176" fillId="11" borderId="220" xfId="0" applyNumberFormat="1" applyFont="1" applyFill="1" applyBorder="1" applyAlignment="1">
      <alignment horizontal="center" vertical="center"/>
    </xf>
    <xf numFmtId="168" fontId="9" fillId="0" borderId="30" xfId="0" applyNumberFormat="1" applyFont="1" applyBorder="1" applyAlignment="1">
      <alignment horizontal="center" vertical="center"/>
    </xf>
    <xf numFmtId="169" fontId="9" fillId="3" borderId="60" xfId="0" applyNumberFormat="1" applyFont="1" applyFill="1" applyBorder="1" applyAlignment="1">
      <alignment horizontal="center" vertical="center"/>
    </xf>
    <xf numFmtId="0" fontId="9" fillId="0" borderId="30" xfId="0" applyFont="1" applyBorder="1" applyAlignment="1">
      <alignment horizontal="center" vertical="center"/>
    </xf>
    <xf numFmtId="170" fontId="9" fillId="0" borderId="60"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xf numFmtId="3" fontId="9" fillId="0" borderId="30" xfId="0" applyNumberFormat="1" applyFont="1" applyBorder="1" applyAlignment="1">
      <alignment horizontal="center" vertical="center"/>
    </xf>
    <xf numFmtId="169" fontId="9" fillId="0" borderId="60" xfId="0" applyNumberFormat="1" applyFont="1" applyBorder="1" applyAlignment="1">
      <alignment horizontal="center" vertical="center"/>
    </xf>
    <xf numFmtId="3" fontId="30" fillId="0" borderId="30" xfId="0" applyNumberFormat="1" applyFont="1" applyBorder="1" applyAlignment="1">
      <alignment horizontal="center" vertical="center"/>
    </xf>
    <xf numFmtId="171" fontId="30" fillId="3" borderId="60" xfId="0" applyNumberFormat="1" applyFont="1" applyFill="1" applyBorder="1" applyAlignment="1">
      <alignment horizontal="center" vertical="center"/>
    </xf>
    <xf numFmtId="169" fontId="30" fillId="0" borderId="60" xfId="0" applyNumberFormat="1" applyFont="1" applyBorder="1" applyAlignment="1">
      <alignment horizontal="center" vertical="center"/>
    </xf>
    <xf numFmtId="167" fontId="18" fillId="0" borderId="60" xfId="0" applyNumberFormat="1" applyFont="1" applyBorder="1" applyAlignment="1">
      <alignment horizontal="center" vertical="center"/>
    </xf>
    <xf numFmtId="166" fontId="9" fillId="0" borderId="60" xfId="0" applyNumberFormat="1" applyFont="1" applyBorder="1" applyAlignment="1">
      <alignment horizontal="center" vertical="center"/>
    </xf>
    <xf numFmtId="170" fontId="30" fillId="0" borderId="60" xfId="0" applyNumberFormat="1" applyFont="1" applyBorder="1" applyAlignment="1">
      <alignment horizontal="center" vertical="center"/>
    </xf>
    <xf numFmtId="3" fontId="30" fillId="0" borderId="62" xfId="0" applyNumberFormat="1" applyFont="1" applyBorder="1" applyAlignment="1">
      <alignment horizontal="center" vertical="center"/>
    </xf>
    <xf numFmtId="166" fontId="30" fillId="0" borderId="63" xfId="0" applyNumberFormat="1" applyFont="1" applyBorder="1" applyAlignment="1">
      <alignment horizontal="center" vertical="center"/>
    </xf>
    <xf numFmtId="171" fontId="30" fillId="0" borderId="63" xfId="0" applyNumberFormat="1" applyFont="1" applyBorder="1" applyAlignment="1">
      <alignment horizontal="center" vertical="center"/>
    </xf>
    <xf numFmtId="3" fontId="18" fillId="0" borderId="30" xfId="0" applyNumberFormat="1" applyFont="1" applyBorder="1" applyAlignment="1">
      <alignment horizontal="center" vertical="center"/>
    </xf>
    <xf numFmtId="169" fontId="18" fillId="0" borderId="60" xfId="0" applyNumberFormat="1" applyFont="1" applyBorder="1" applyAlignment="1">
      <alignment horizontal="center" vertical="center"/>
    </xf>
    <xf numFmtId="0" fontId="29" fillId="0" borderId="30" xfId="0" applyFont="1" applyBorder="1" applyAlignment="1">
      <alignment horizontal="center" vertical="center"/>
    </xf>
    <xf numFmtId="9" fontId="9" fillId="0" borderId="60" xfId="0" applyNumberFormat="1" applyFont="1" applyBorder="1" applyAlignment="1">
      <alignment horizontal="center" vertical="center"/>
    </xf>
    <xf numFmtId="0" fontId="18" fillId="0" borderId="30" xfId="0" applyFont="1" applyBorder="1" applyAlignment="1">
      <alignment horizontal="center" vertical="center"/>
    </xf>
    <xf numFmtId="168" fontId="30" fillId="0" borderId="60" xfId="0" applyNumberFormat="1" applyFont="1" applyBorder="1" applyAlignment="1">
      <alignment horizontal="center" vertical="center"/>
    </xf>
    <xf numFmtId="0" fontId="18" fillId="0" borderId="39" xfId="0" applyFont="1" applyBorder="1" applyAlignment="1">
      <alignment horizontal="center" vertical="center"/>
    </xf>
    <xf numFmtId="168" fontId="30" fillId="0" borderId="160" xfId="0" applyNumberFormat="1" applyFont="1" applyBorder="1" applyAlignment="1">
      <alignment horizontal="center" vertical="center"/>
    </xf>
    <xf numFmtId="0" fontId="18" fillId="0" borderId="62" xfId="0" applyFont="1" applyBorder="1" applyAlignment="1">
      <alignment horizontal="center" vertical="center"/>
    </xf>
    <xf numFmtId="169" fontId="18" fillId="0" borderId="63" xfId="0" applyNumberFormat="1" applyFont="1" applyBorder="1" applyAlignment="1">
      <alignment horizontal="center" vertical="center"/>
    </xf>
    <xf numFmtId="3" fontId="253" fillId="16" borderId="122" xfId="0" applyNumberFormat="1" applyFont="1" applyFill="1" applyBorder="1" applyAlignment="1">
      <alignment horizontal="center" vertical="center"/>
    </xf>
    <xf numFmtId="168" fontId="9" fillId="0" borderId="123" xfId="0" applyNumberFormat="1" applyFont="1" applyBorder="1" applyAlignment="1" applyProtection="1">
      <alignment horizontal="center" vertical="center"/>
      <protection locked="0"/>
    </xf>
    <xf numFmtId="3" fontId="29" fillId="0" borderId="30" xfId="0" applyNumberFormat="1" applyFont="1" applyBorder="1" applyAlignment="1">
      <alignment horizontal="center" vertical="center"/>
    </xf>
    <xf numFmtId="3" fontId="29" fillId="2" borderId="60" xfId="0" applyNumberFormat="1" applyFont="1" applyFill="1" applyBorder="1" applyAlignment="1" applyProtection="1">
      <alignment horizontal="center" vertical="center"/>
      <protection locked="0"/>
    </xf>
    <xf numFmtId="168" fontId="29" fillId="0" borderId="60" xfId="0" applyNumberFormat="1" applyFont="1" applyBorder="1" applyAlignment="1">
      <alignment horizontal="center" vertical="center"/>
    </xf>
    <xf numFmtId="9" fontId="18" fillId="2" borderId="60" xfId="0" applyNumberFormat="1" applyFont="1" applyFill="1" applyBorder="1" applyAlignment="1" applyProtection="1">
      <alignment horizontal="center" vertical="center"/>
      <protection locked="0"/>
    </xf>
    <xf numFmtId="10" fontId="18" fillId="2" borderId="60" xfId="0" applyNumberFormat="1" applyFont="1" applyFill="1" applyBorder="1" applyAlignment="1" applyProtection="1">
      <alignment horizontal="center" vertical="center"/>
      <protection locked="0"/>
    </xf>
    <xf numFmtId="168" fontId="18" fillId="2" borderId="60" xfId="0" applyNumberFormat="1" applyFont="1" applyFill="1" applyBorder="1" applyAlignment="1" applyProtection="1">
      <alignment horizontal="center" vertical="center"/>
      <protection locked="0"/>
    </xf>
    <xf numFmtId="10" fontId="18" fillId="0" borderId="60" xfId="0" applyNumberFormat="1" applyFont="1" applyBorder="1" applyAlignment="1">
      <alignment horizontal="center" vertical="center"/>
    </xf>
    <xf numFmtId="0" fontId="29" fillId="0" borderId="39" xfId="0" applyFont="1" applyBorder="1" applyAlignment="1">
      <alignment horizontal="center" vertical="center"/>
    </xf>
    <xf numFmtId="9" fontId="29" fillId="0" borderId="160" xfId="0" applyNumberFormat="1" applyFont="1" applyBorder="1" applyAlignment="1">
      <alignment horizontal="center" vertical="center"/>
    </xf>
    <xf numFmtId="168" fontId="18" fillId="2" borderId="160" xfId="0" applyNumberFormat="1" applyFont="1" applyFill="1" applyBorder="1" applyAlignment="1" applyProtection="1">
      <alignment horizontal="center" vertical="center"/>
      <protection locked="0"/>
    </xf>
    <xf numFmtId="0" fontId="18" fillId="0" borderId="209" xfId="0" applyFont="1" applyBorder="1" applyAlignment="1">
      <alignment horizontal="center" vertical="center"/>
    </xf>
    <xf numFmtId="168" fontId="196" fillId="0" borderId="220" xfId="0" applyNumberFormat="1" applyFont="1" applyBorder="1" applyAlignment="1" applyProtection="1">
      <alignment horizontal="center" vertical="center"/>
      <protection locked="0"/>
    </xf>
    <xf numFmtId="0" fontId="172" fillId="0" borderId="222" xfId="0" applyFont="1" applyBorder="1" applyAlignment="1">
      <alignment horizontal="center" vertical="center"/>
    </xf>
    <xf numFmtId="1" fontId="172" fillId="59" borderId="223" xfId="0" applyNumberFormat="1" applyFont="1" applyFill="1" applyBorder="1" applyAlignment="1" applyProtection="1">
      <alignment horizontal="center" vertical="center"/>
      <protection locked="0"/>
    </xf>
    <xf numFmtId="0" fontId="18" fillId="0" borderId="34" xfId="0" applyFont="1" applyBorder="1" applyAlignment="1">
      <alignment horizontal="center" vertical="center"/>
    </xf>
    <xf numFmtId="1" fontId="18" fillId="0" borderId="79" xfId="0" applyNumberFormat="1" applyFont="1" applyBorder="1" applyAlignment="1">
      <alignment horizontal="center" vertical="center"/>
    </xf>
    <xf numFmtId="0" fontId="18" fillId="0" borderId="225" xfId="0" applyFont="1" applyBorder="1" applyAlignment="1">
      <alignment horizontal="center" vertical="center"/>
    </xf>
    <xf numFmtId="166" fontId="29" fillId="0" borderId="226" xfId="0" applyNumberFormat="1" applyFont="1" applyBorder="1" applyAlignment="1">
      <alignment horizontal="center" vertical="center"/>
    </xf>
    <xf numFmtId="0" fontId="18" fillId="0" borderId="228" xfId="0" applyFont="1" applyBorder="1" applyAlignment="1">
      <alignment horizontal="center" vertical="center"/>
    </xf>
    <xf numFmtId="168" fontId="29" fillId="0" borderId="229" xfId="0" applyNumberFormat="1" applyFont="1" applyBorder="1" applyAlignment="1">
      <alignment horizontal="center" vertical="center"/>
    </xf>
    <xf numFmtId="0" fontId="29" fillId="0" borderId="59" xfId="0" applyFont="1" applyBorder="1" applyAlignment="1">
      <alignment horizontal="right" vertical="center"/>
    </xf>
    <xf numFmtId="0" fontId="18" fillId="0" borderId="59" xfId="0" applyFont="1" applyBorder="1" applyAlignment="1">
      <alignment horizontal="right" vertical="center"/>
    </xf>
    <xf numFmtId="0" fontId="18" fillId="0" borderId="61" xfId="0" applyFont="1" applyBorder="1" applyAlignment="1">
      <alignment horizontal="right" vertical="center"/>
    </xf>
    <xf numFmtId="0" fontId="18" fillId="0" borderId="159" xfId="0" applyFont="1" applyBorder="1" applyAlignment="1">
      <alignment horizontal="right" vertical="center"/>
    </xf>
    <xf numFmtId="3" fontId="253" fillId="16" borderId="121" xfId="0" applyNumberFormat="1" applyFont="1" applyFill="1" applyBorder="1" applyAlignment="1">
      <alignment horizontal="right" vertical="center"/>
    </xf>
    <xf numFmtId="170" fontId="18" fillId="0" borderId="59" xfId="0" applyNumberFormat="1" applyFont="1" applyBorder="1" applyAlignment="1">
      <alignment horizontal="right" vertical="center"/>
    </xf>
    <xf numFmtId="0" fontId="180" fillId="0" borderId="219" xfId="0" applyFont="1" applyBorder="1" applyAlignment="1">
      <alignment horizontal="right" vertical="center"/>
    </xf>
    <xf numFmtId="0" fontId="18" fillId="0" borderId="224" xfId="0" applyFont="1" applyBorder="1" applyAlignment="1">
      <alignment horizontal="right" vertical="center"/>
    </xf>
    <xf numFmtId="0" fontId="18" fillId="0" borderId="78" xfId="0" applyFont="1" applyBorder="1" applyAlignment="1">
      <alignment horizontal="right" vertical="center"/>
    </xf>
    <xf numFmtId="0" fontId="29" fillId="0" borderId="159" xfId="0" applyFont="1" applyBorder="1" applyAlignment="1">
      <alignment horizontal="right" vertical="center"/>
    </xf>
    <xf numFmtId="170" fontId="18" fillId="0" borderId="227" xfId="0" applyNumberFormat="1" applyFont="1" applyBorder="1" applyAlignment="1">
      <alignment horizontal="right" vertical="center"/>
    </xf>
    <xf numFmtId="0" fontId="18" fillId="0" borderId="219" xfId="0" applyFont="1" applyBorder="1" applyAlignment="1">
      <alignment horizontal="right" vertical="center"/>
    </xf>
    <xf numFmtId="0" fontId="172" fillId="0" borderId="213" xfId="0" applyFont="1" applyBorder="1" applyAlignment="1">
      <alignment horizontal="right" vertical="center"/>
    </xf>
    <xf numFmtId="170" fontId="172" fillId="0" borderId="216" xfId="0" applyNumberFormat="1" applyFont="1" applyBorder="1" applyAlignment="1">
      <alignment horizontal="right" vertical="center"/>
    </xf>
    <xf numFmtId="170" fontId="172" fillId="0" borderId="221" xfId="0" applyNumberFormat="1" applyFont="1" applyBorder="1" applyAlignment="1">
      <alignment horizontal="right" vertical="center"/>
    </xf>
    <xf numFmtId="4" fontId="172" fillId="0" borderId="215" xfId="0" applyNumberFormat="1" applyFont="1" applyBorder="1" applyAlignment="1">
      <alignment horizontal="center" vertical="center"/>
    </xf>
    <xf numFmtId="165" fontId="129" fillId="0" borderId="60" xfId="0" applyNumberFormat="1" applyFont="1" applyBorder="1" applyAlignment="1">
      <alignment horizontal="center" vertical="center"/>
    </xf>
    <xf numFmtId="168" fontId="47" fillId="0" borderId="59" xfId="0" applyNumberFormat="1" applyFont="1" applyBorder="1" applyAlignment="1">
      <alignment horizontal="center" vertical="center"/>
    </xf>
    <xf numFmtId="0" fontId="43" fillId="0" borderId="159" xfId="0" applyFont="1" applyBorder="1" applyAlignment="1">
      <alignment horizontal="left" vertical="center"/>
    </xf>
    <xf numFmtId="171" fontId="43" fillId="2" borderId="220" xfId="0" applyNumberFormat="1" applyFont="1" applyFill="1" applyBorder="1" applyAlignment="1" applyProtection="1">
      <alignment horizontal="center" vertical="center"/>
      <protection locked="0"/>
    </xf>
    <xf numFmtId="167" fontId="47" fillId="0" borderId="59" xfId="0" applyNumberFormat="1" applyFont="1" applyBorder="1" applyAlignment="1">
      <alignment horizontal="center" vertical="center"/>
    </xf>
    <xf numFmtId="167" fontId="47" fillId="0" borderId="60" xfId="0" applyNumberFormat="1" applyFont="1" applyBorder="1" applyAlignment="1">
      <alignment horizontal="center" vertical="center"/>
    </xf>
    <xf numFmtId="170" fontId="43" fillId="2" borderId="60" xfId="0" applyNumberFormat="1" applyFont="1" applyFill="1" applyBorder="1" applyAlignment="1" applyProtection="1">
      <alignment horizontal="center" vertical="center"/>
      <protection locked="0"/>
    </xf>
    <xf numFmtId="170" fontId="43" fillId="2" borderId="160" xfId="0" applyNumberFormat="1" applyFont="1" applyFill="1" applyBorder="1" applyAlignment="1" applyProtection="1">
      <alignment horizontal="center" vertical="center"/>
      <protection locked="0"/>
    </xf>
    <xf numFmtId="10" fontId="121" fillId="0" borderId="108" xfId="0" applyNumberFormat="1" applyFont="1" applyBorder="1" applyAlignment="1" applyProtection="1">
      <alignment horizontal="center" vertical="center"/>
      <protection locked="0"/>
    </xf>
    <xf numFmtId="1" fontId="121" fillId="0" borderId="108" xfId="0" applyNumberFormat="1" applyFont="1" applyBorder="1" applyAlignment="1" applyProtection="1">
      <alignment horizontal="center" vertical="center"/>
      <protection locked="0"/>
    </xf>
    <xf numFmtId="166" fontId="40" fillId="0" borderId="108" xfId="0" applyNumberFormat="1" applyFont="1" applyBorder="1" applyAlignment="1" applyProtection="1">
      <alignment horizontal="center" vertical="center"/>
      <protection locked="0"/>
    </xf>
    <xf numFmtId="1" fontId="172" fillId="59" borderId="215" xfId="0" applyNumberFormat="1" applyFont="1" applyFill="1" applyBorder="1" applyAlignment="1" applyProtection="1">
      <alignment horizontal="center" vertical="center"/>
      <protection locked="0"/>
    </xf>
    <xf numFmtId="3" fontId="9"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9" fillId="62" borderId="165" xfId="0" applyNumberFormat="1" applyFont="1" applyFill="1" applyBorder="1" applyAlignment="1">
      <alignment horizontal="center" vertical="center"/>
    </xf>
    <xf numFmtId="3" fontId="9" fillId="62" borderId="165" xfId="0" applyNumberFormat="1" applyFont="1" applyFill="1" applyBorder="1" applyAlignment="1">
      <alignment horizontal="center" vertical="center"/>
    </xf>
    <xf numFmtId="0" fontId="9" fillId="63" borderId="23" xfId="0" applyFont="1" applyFill="1" applyBorder="1" applyAlignment="1">
      <alignment horizontal="right" vertical="center"/>
    </xf>
    <xf numFmtId="164" fontId="9" fillId="63" borderId="165" xfId="1" applyNumberFormat="1" applyFont="1" applyFill="1" applyBorder="1" applyAlignment="1">
      <alignment horizontal="center" vertical="center"/>
    </xf>
    <xf numFmtId="0" fontId="30" fillId="63" borderId="23" xfId="0" applyFont="1" applyFill="1" applyBorder="1" applyAlignment="1">
      <alignment vertical="center"/>
    </xf>
    <xf numFmtId="0" fontId="0" fillId="63" borderId="0" xfId="0" applyFill="1" applyAlignment="1">
      <alignment vertical="center"/>
    </xf>
    <xf numFmtId="168" fontId="0" fillId="63" borderId="0" xfId="0" applyNumberFormat="1" applyFill="1" applyAlignment="1">
      <alignment vertical="center"/>
    </xf>
    <xf numFmtId="168" fontId="6" fillId="57" borderId="170" xfId="4" applyNumberFormat="1" applyFill="1" applyBorder="1" applyAlignment="1">
      <alignment horizontal="center" vertical="center"/>
    </xf>
    <xf numFmtId="0" fontId="255" fillId="14" borderId="23" xfId="6" applyFont="1" applyFill="1" applyAlignment="1">
      <alignment vertical="center"/>
    </xf>
    <xf numFmtId="0" fontId="256" fillId="14" borderId="23" xfId="6" applyFont="1" applyFill="1" applyAlignment="1">
      <alignment vertical="center"/>
    </xf>
    <xf numFmtId="0" fontId="257" fillId="14" borderId="23" xfId="6" applyFont="1" applyFill="1"/>
    <xf numFmtId="0" fontId="34" fillId="14" borderId="23" xfId="6" applyFill="1"/>
    <xf numFmtId="0" fontId="34" fillId="64" borderId="23" xfId="6" applyFill="1"/>
    <xf numFmtId="0" fontId="258" fillId="14" borderId="23" xfId="6" applyFont="1" applyFill="1"/>
    <xf numFmtId="0" fontId="257" fillId="64" borderId="23" xfId="6" applyFont="1" applyFill="1"/>
    <xf numFmtId="0" fontId="165" fillId="64" borderId="23" xfId="6" applyFont="1" applyFill="1"/>
    <xf numFmtId="0" fontId="259" fillId="64" borderId="23" xfId="6" applyFont="1" applyFill="1"/>
    <xf numFmtId="0" fontId="260" fillId="14" borderId="23" xfId="6" applyFont="1" applyFill="1"/>
    <xf numFmtId="0" fontId="261" fillId="14" borderId="23" xfId="6" applyFont="1" applyFill="1"/>
    <xf numFmtId="0" fontId="262" fillId="14" borderId="23" xfId="6" applyFont="1" applyFill="1"/>
    <xf numFmtId="0" fontId="238" fillId="15" borderId="23" xfId="6" applyFont="1" applyFill="1" applyAlignment="1">
      <alignment vertical="center"/>
    </xf>
    <xf numFmtId="0" fontId="263" fillId="15" borderId="23" xfId="6" applyFont="1" applyFill="1" applyAlignment="1" applyProtection="1">
      <alignment vertical="center"/>
      <protection locked="0"/>
    </xf>
    <xf numFmtId="0" fontId="264" fillId="15" borderId="23" xfId="6" applyFont="1" applyFill="1"/>
    <xf numFmtId="0" fontId="265" fillId="14" borderId="23" xfId="6" applyFont="1" applyFill="1" applyAlignment="1">
      <alignment vertical="center"/>
    </xf>
    <xf numFmtId="0" fontId="157" fillId="65" borderId="23" xfId="6" applyFont="1" applyFill="1" applyAlignment="1">
      <alignment vertical="center"/>
    </xf>
    <xf numFmtId="0" fontId="34" fillId="65" borderId="23" xfId="6" applyFill="1"/>
    <xf numFmtId="0" fontId="264" fillId="65" borderId="23" xfId="6" applyFont="1" applyFill="1"/>
    <xf numFmtId="0" fontId="264" fillId="65" borderId="23" xfId="6" applyFont="1" applyFill="1" applyAlignment="1">
      <alignment vertical="center"/>
    </xf>
    <xf numFmtId="0" fontId="59" fillId="64" borderId="23" xfId="6" applyFont="1" applyFill="1"/>
    <xf numFmtId="0" fontId="59" fillId="64" borderId="23" xfId="6" applyFont="1" applyFill="1" applyAlignment="1">
      <alignment horizontal="right" vertical="center" wrapText="1"/>
    </xf>
    <xf numFmtId="0" fontId="137" fillId="64" borderId="23" xfId="6" applyFont="1" applyFill="1" applyAlignment="1">
      <alignment vertical="center"/>
    </xf>
    <xf numFmtId="0" fontId="266" fillId="64" borderId="23" xfId="6" applyFont="1" applyFill="1"/>
    <xf numFmtId="0" fontId="59" fillId="64" borderId="23" xfId="6" applyFont="1" applyFill="1" applyAlignment="1">
      <alignment horizontal="right" vertical="center"/>
    </xf>
    <xf numFmtId="0" fontId="267" fillId="14" borderId="23" xfId="6" applyFont="1" applyFill="1"/>
    <xf numFmtId="0" fontId="268" fillId="14" borderId="23" xfId="6" applyFont="1" applyFill="1" applyAlignment="1">
      <alignment horizontal="right"/>
    </xf>
    <xf numFmtId="0" fontId="269" fillId="14" borderId="23" xfId="6" applyFont="1" applyFill="1"/>
    <xf numFmtId="0" fontId="270" fillId="14" borderId="23" xfId="6" applyFont="1" applyFill="1"/>
    <xf numFmtId="0" fontId="269" fillId="14" borderId="23" xfId="6" applyFont="1" applyFill="1" applyProtection="1">
      <protection locked="0"/>
    </xf>
    <xf numFmtId="0" fontId="133" fillId="16" borderId="23" xfId="6" applyFont="1" applyFill="1" applyAlignment="1">
      <alignment horizontal="left" vertical="center"/>
    </xf>
    <xf numFmtId="0" fontId="272" fillId="16" borderId="23" xfId="6" applyFont="1" applyFill="1"/>
    <xf numFmtId="0" fontId="273" fillId="16" borderId="23" xfId="6" applyFont="1" applyFill="1"/>
    <xf numFmtId="0" fontId="262" fillId="16" borderId="23" xfId="6" applyFont="1" applyFill="1"/>
    <xf numFmtId="0" fontId="133" fillId="16" borderId="23" xfId="6" applyFont="1" applyFill="1" applyAlignment="1">
      <alignment horizontal="left" vertical="top"/>
    </xf>
    <xf numFmtId="0" fontId="59" fillId="16" borderId="23" xfId="6" applyFont="1" applyFill="1"/>
    <xf numFmtId="0" fontId="133" fillId="16" borderId="23" xfId="6" applyFont="1" applyFill="1" applyAlignment="1">
      <alignment vertical="top"/>
    </xf>
    <xf numFmtId="0" fontId="262" fillId="16" borderId="23" xfId="6" applyFont="1" applyFill="1" applyAlignment="1">
      <alignment vertical="center"/>
    </xf>
    <xf numFmtId="0" fontId="262" fillId="16" borderId="23" xfId="6" applyFont="1" applyFill="1" applyAlignment="1">
      <alignment horizontal="left"/>
    </xf>
    <xf numFmtId="0" fontId="273" fillId="16" borderId="23" xfId="6" applyFont="1" applyFill="1" applyAlignment="1">
      <alignment vertical="center"/>
    </xf>
    <xf numFmtId="0" fontId="274" fillId="16" borderId="23" xfId="6" applyFont="1" applyFill="1" applyAlignment="1">
      <alignment vertical="center"/>
    </xf>
    <xf numFmtId="0" fontId="275" fillId="16" borderId="23" xfId="6" applyFont="1" applyFill="1" applyAlignment="1">
      <alignment vertical="center"/>
    </xf>
    <xf numFmtId="0" fontId="277" fillId="16" borderId="23" xfId="7" applyFont="1" applyFill="1" applyBorder="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80" fillId="16" borderId="23" xfId="6" applyFont="1" applyFill="1" applyAlignment="1">
      <alignment vertical="center"/>
    </xf>
    <xf numFmtId="0" fontId="273" fillId="14" borderId="23" xfId="6" applyFont="1" applyFill="1"/>
    <xf numFmtId="0" fontId="285" fillId="64" borderId="23" xfId="6" applyFont="1" applyFill="1" applyProtection="1">
      <protection locked="0"/>
    </xf>
    <xf numFmtId="0" fontId="34" fillId="64" borderId="23" xfId="6" applyFill="1" applyProtection="1">
      <protection locked="0"/>
    </xf>
    <xf numFmtId="0" fontId="286" fillId="23" borderId="23" xfId="6" applyFont="1" applyFill="1" applyAlignment="1" applyProtection="1">
      <alignment horizontal="center" vertical="center"/>
      <protection locked="0"/>
    </xf>
    <xf numFmtId="0" fontId="287" fillId="23" borderId="23" xfId="6" applyFont="1" applyFill="1" applyAlignment="1">
      <alignment horizontal="center" vertical="center"/>
    </xf>
    <xf numFmtId="0" fontId="288" fillId="23" borderId="23" xfId="6" applyFont="1" applyFill="1" applyAlignment="1" applyProtection="1">
      <alignment horizontal="center" vertical="center"/>
      <protection locked="0"/>
    </xf>
    <xf numFmtId="0" fontId="141" fillId="15" borderId="23" xfId="6" applyFont="1" applyFill="1" applyAlignment="1">
      <alignment vertical="center"/>
    </xf>
    <xf numFmtId="0" fontId="289" fillId="15" borderId="23" xfId="6" applyFont="1" applyFill="1" applyProtection="1">
      <protection locked="0"/>
    </xf>
    <xf numFmtId="0" fontId="290" fillId="64" borderId="23" xfId="6" applyFont="1" applyFill="1" applyProtection="1">
      <protection locked="0"/>
    </xf>
    <xf numFmtId="0" fontId="49" fillId="64" borderId="23" xfId="6" applyFont="1" applyFill="1"/>
    <xf numFmtId="0" fontId="49" fillId="64" borderId="23" xfId="6" applyFont="1" applyFill="1" applyProtection="1">
      <protection locked="0"/>
    </xf>
    <xf numFmtId="0" fontId="53" fillId="64" borderId="23" xfId="6" applyFont="1" applyFill="1" applyProtection="1">
      <protection locked="0"/>
    </xf>
    <xf numFmtId="0" fontId="291" fillId="64" borderId="23" xfId="6" applyFont="1" applyFill="1" applyProtection="1">
      <protection locked="0"/>
    </xf>
    <xf numFmtId="0" fontId="50" fillId="64" borderId="23" xfId="6" applyFont="1" applyFill="1"/>
    <xf numFmtId="0" fontId="285" fillId="0" borderId="23" xfId="6" applyFont="1"/>
    <xf numFmtId="3" fontId="216" fillId="0" borderId="23" xfId="6" applyNumberFormat="1" applyFont="1" applyAlignment="1">
      <alignment horizontal="left"/>
    </xf>
    <xf numFmtId="0" fontId="49" fillId="64" borderId="23" xfId="6" applyFont="1" applyFill="1" applyAlignment="1">
      <alignment vertical="center"/>
    </xf>
    <xf numFmtId="0" fontId="50" fillId="64" borderId="147" xfId="6" applyFont="1" applyFill="1" applyBorder="1" applyProtection="1">
      <protection locked="0"/>
    </xf>
    <xf numFmtId="0" fontId="50" fillId="64" borderId="147" xfId="6" applyFont="1" applyFill="1" applyBorder="1" applyAlignment="1">
      <alignment horizontal="center"/>
    </xf>
    <xf numFmtId="0" fontId="49" fillId="64" borderId="51" xfId="6" applyFont="1" applyFill="1" applyBorder="1" applyAlignment="1">
      <alignment vertical="center"/>
    </xf>
    <xf numFmtId="0" fontId="49" fillId="64" borderId="231" xfId="6" applyFont="1" applyFill="1" applyBorder="1" applyAlignment="1" applyProtection="1">
      <alignment vertical="center"/>
      <protection locked="0"/>
    </xf>
    <xf numFmtId="0" fontId="49" fillId="64" borderId="52" xfId="6" applyFont="1" applyFill="1" applyBorder="1" applyAlignment="1" applyProtection="1">
      <alignment vertical="center"/>
      <protection locked="0"/>
    </xf>
    <xf numFmtId="3" fontId="49" fillId="23" borderId="232" xfId="6" applyNumberFormat="1" applyFont="1" applyFill="1" applyBorder="1" applyAlignment="1" applyProtection="1">
      <alignment horizontal="center" vertical="center"/>
      <protection locked="0"/>
    </xf>
    <xf numFmtId="0" fontId="292" fillId="64" borderId="23" xfId="6" applyFont="1" applyFill="1" applyProtection="1">
      <protection locked="0"/>
    </xf>
    <xf numFmtId="0" fontId="61" fillId="16" borderId="23" xfId="6" applyFont="1" applyFill="1" applyAlignment="1">
      <alignment vertical="center"/>
    </xf>
    <xf numFmtId="0" fontId="293" fillId="16" borderId="23" xfId="6" applyFont="1" applyFill="1" applyProtection="1">
      <protection locked="0"/>
    </xf>
    <xf numFmtId="0" fontId="294" fillId="64" borderId="23" xfId="6" applyFont="1" applyFill="1" applyProtection="1">
      <protection locked="0"/>
    </xf>
    <xf numFmtId="0" fontId="49" fillId="64" borderId="23" xfId="6" applyFont="1" applyFill="1" applyAlignment="1" applyProtection="1">
      <alignment vertical="center"/>
      <protection locked="0"/>
    </xf>
    <xf numFmtId="0" fontId="285" fillId="64" borderId="23" xfId="6" applyFont="1" applyFill="1" applyAlignment="1" applyProtection="1">
      <alignment horizontal="center"/>
      <protection locked="0"/>
    </xf>
    <xf numFmtId="0" fontId="50" fillId="64" borderId="147" xfId="6" applyFont="1" applyFill="1" applyBorder="1" applyAlignment="1" applyProtection="1">
      <alignment vertical="center"/>
      <protection locked="0"/>
    </xf>
    <xf numFmtId="0" fontId="49" fillId="0" borderId="233" xfId="6" applyFont="1" applyBorder="1" applyAlignment="1">
      <alignment horizontal="center" vertical="center" wrapText="1"/>
    </xf>
    <xf numFmtId="0" fontId="49" fillId="0" borderId="49" xfId="6" applyFont="1" applyBorder="1" applyAlignment="1">
      <alignment horizontal="center" vertical="center" wrapText="1"/>
    </xf>
    <xf numFmtId="0" fontId="50" fillId="64" borderId="49" xfId="6" applyFont="1" applyFill="1" applyBorder="1" applyAlignment="1">
      <alignment horizontal="center" vertical="center"/>
    </xf>
    <xf numFmtId="0" fontId="295" fillId="64" borderId="23" xfId="6" applyFont="1" applyFill="1" applyProtection="1">
      <protection locked="0"/>
    </xf>
    <xf numFmtId="0" fontId="49" fillId="64" borderId="234" xfId="6" applyFont="1" applyFill="1" applyBorder="1" applyAlignment="1">
      <alignment vertical="center" wrapText="1"/>
    </xf>
    <xf numFmtId="0" fontId="49" fillId="0" borderId="147" xfId="6" applyFont="1" applyBorder="1" applyAlignment="1">
      <alignment horizontal="center" vertical="center"/>
    </xf>
    <xf numFmtId="1" fontId="49" fillId="0" borderId="49" xfId="6" applyNumberFormat="1" applyFont="1" applyBorder="1" applyAlignment="1">
      <alignment horizontal="center" vertical="center"/>
    </xf>
    <xf numFmtId="0" fontId="49" fillId="23" borderId="49" xfId="6" applyFont="1" applyFill="1" applyBorder="1" applyAlignment="1" applyProtection="1">
      <alignment horizontal="center" vertical="center"/>
      <protection locked="0"/>
    </xf>
    <xf numFmtId="0" fontId="50" fillId="64" borderId="231" xfId="6" applyFont="1" applyFill="1" applyBorder="1" applyAlignment="1" applyProtection="1">
      <alignment vertical="center"/>
      <protection locked="0"/>
    </xf>
    <xf numFmtId="0" fontId="49" fillId="0" borderId="231" xfId="6" applyFont="1" applyBorder="1" applyAlignment="1">
      <alignment horizontal="center" vertical="center" wrapText="1"/>
    </xf>
    <xf numFmtId="0" fontId="50" fillId="64" borderId="52" xfId="6" applyFont="1" applyFill="1" applyBorder="1" applyAlignment="1">
      <alignment horizontal="center" vertical="center"/>
    </xf>
    <xf numFmtId="0" fontId="61" fillId="16" borderId="235" xfId="6" applyFont="1" applyFill="1" applyBorder="1" applyAlignment="1">
      <alignment vertical="center"/>
    </xf>
    <xf numFmtId="0" fontId="43" fillId="16" borderId="236" xfId="6" applyFont="1" applyFill="1" applyBorder="1" applyProtection="1">
      <protection locked="0"/>
    </xf>
    <xf numFmtId="0" fontId="43" fillId="16" borderId="237" xfId="6" applyFont="1" applyFill="1" applyBorder="1" applyProtection="1">
      <protection locked="0"/>
    </xf>
    <xf numFmtId="2" fontId="49" fillId="0" borderId="147" xfId="6" applyNumberFormat="1" applyFont="1" applyBorder="1" applyAlignment="1">
      <alignment horizontal="center" vertical="center"/>
    </xf>
    <xf numFmtId="2" fontId="49" fillId="0" borderId="49" xfId="6" applyNumberFormat="1" applyFont="1" applyBorder="1" applyAlignment="1">
      <alignment horizontal="center" vertical="center"/>
    </xf>
    <xf numFmtId="0" fontId="296" fillId="64" borderId="23" xfId="6" applyFont="1" applyFill="1" applyProtection="1">
      <protection locked="0"/>
    </xf>
    <xf numFmtId="0" fontId="43" fillId="39" borderId="238" xfId="6" applyFont="1" applyFill="1" applyBorder="1" applyAlignment="1">
      <alignment vertical="center"/>
    </xf>
    <xf numFmtId="0" fontId="43" fillId="39" borderId="23" xfId="6" applyFont="1" applyFill="1" applyAlignment="1" applyProtection="1">
      <alignment vertical="center"/>
      <protection locked="0"/>
    </xf>
    <xf numFmtId="0" fontId="43" fillId="39" borderId="239" xfId="6" applyFont="1" applyFill="1" applyBorder="1" applyProtection="1">
      <protection locked="0"/>
    </xf>
    <xf numFmtId="0" fontId="49" fillId="64" borderId="23" xfId="6" applyFont="1" applyFill="1" applyAlignment="1" applyProtection="1">
      <alignment horizontal="center"/>
      <protection locked="0"/>
    </xf>
    <xf numFmtId="0" fontId="43" fillId="39" borderId="238" xfId="6" applyFont="1" applyFill="1" applyBorder="1" applyAlignment="1" applyProtection="1">
      <alignment vertical="center"/>
      <protection locked="0"/>
    </xf>
    <xf numFmtId="0" fontId="62" fillId="16" borderId="23" xfId="6" applyFont="1" applyFill="1" applyProtection="1">
      <protection locked="0"/>
    </xf>
    <xf numFmtId="0" fontId="63" fillId="39" borderId="238" xfId="6" applyFont="1" applyFill="1" applyBorder="1" applyAlignment="1">
      <alignment vertical="center"/>
    </xf>
    <xf numFmtId="0" fontId="49" fillId="0" borderId="23" xfId="6" applyFont="1"/>
    <xf numFmtId="0" fontId="49" fillId="0" borderId="23" xfId="6" applyFont="1" applyProtection="1">
      <protection locked="0"/>
    </xf>
    <xf numFmtId="0" fontId="43" fillId="39" borderId="49" xfId="6" applyFont="1" applyFill="1" applyBorder="1" applyAlignment="1">
      <alignment horizontal="center" vertical="center"/>
    </xf>
    <xf numFmtId="3" fontId="43" fillId="39" borderId="49" xfId="6" applyNumberFormat="1" applyFont="1" applyFill="1" applyBorder="1" applyAlignment="1">
      <alignment horizontal="center" vertical="center"/>
    </xf>
    <xf numFmtId="3" fontId="283" fillId="39" borderId="49" xfId="6" applyNumberFormat="1" applyFont="1" applyFill="1" applyBorder="1" applyAlignment="1">
      <alignment horizontal="center" vertical="center"/>
    </xf>
    <xf numFmtId="0" fontId="49" fillId="64" borderId="231" xfId="6" applyFont="1" applyFill="1" applyBorder="1" applyProtection="1">
      <protection locked="0"/>
    </xf>
    <xf numFmtId="0" fontId="49" fillId="64" borderId="52" xfId="6" applyFont="1" applyFill="1" applyBorder="1" applyProtection="1">
      <protection locked="0"/>
    </xf>
    <xf numFmtId="3" fontId="49" fillId="23" borderId="232" xfId="6" applyNumberFormat="1" applyFont="1" applyFill="1" applyBorder="1" applyAlignment="1" applyProtection="1">
      <alignment horizontal="center"/>
      <protection locked="0"/>
    </xf>
    <xf numFmtId="4" fontId="43" fillId="39" borderId="49" xfId="6" applyNumberFormat="1" applyFont="1" applyFill="1" applyBorder="1" applyAlignment="1">
      <alignment horizontal="center" vertical="center"/>
    </xf>
    <xf numFmtId="0" fontId="43" fillId="39" borderId="240" xfId="6" applyFont="1" applyFill="1" applyBorder="1" applyAlignment="1" applyProtection="1">
      <alignment vertical="center"/>
      <protection locked="0"/>
    </xf>
    <xf numFmtId="0" fontId="43" fillId="39" borderId="241" xfId="6" applyFont="1" applyFill="1" applyBorder="1" applyAlignment="1" applyProtection="1">
      <alignment vertical="center"/>
      <protection locked="0"/>
    </xf>
    <xf numFmtId="0" fontId="43" fillId="39" borderId="242" xfId="6" applyFont="1" applyFill="1" applyBorder="1" applyProtection="1">
      <protection locked="0"/>
    </xf>
    <xf numFmtId="0" fontId="285" fillId="64" borderId="23" xfId="6" applyFont="1" applyFill="1" applyAlignment="1" applyProtection="1">
      <alignment vertical="center"/>
      <protection locked="0"/>
    </xf>
    <xf numFmtId="0" fontId="296" fillId="64" borderId="23" xfId="6" applyFont="1" applyFill="1" applyAlignment="1" applyProtection="1">
      <alignment vertical="center"/>
      <protection locked="0"/>
    </xf>
    <xf numFmtId="0" fontId="36" fillId="16" borderId="23" xfId="6" applyFont="1" applyFill="1" applyProtection="1">
      <protection locked="0"/>
    </xf>
    <xf numFmtId="0" fontId="43" fillId="64" borderId="23" xfId="6" applyFont="1" applyFill="1" applyProtection="1">
      <protection locked="0"/>
    </xf>
    <xf numFmtId="0" fontId="297" fillId="64" borderId="23" xfId="6" applyFont="1" applyFill="1" applyProtection="1">
      <protection locked="0"/>
    </xf>
    <xf numFmtId="0" fontId="285" fillId="0" borderId="23" xfId="6" applyFont="1" applyProtection="1">
      <protection locked="0"/>
    </xf>
    <xf numFmtId="0" fontId="298" fillId="0" borderId="23" xfId="6" applyFont="1" applyProtection="1">
      <protection locked="0"/>
    </xf>
    <xf numFmtId="0" fontId="48" fillId="16" borderId="49" xfId="6" applyFont="1" applyFill="1" applyBorder="1" applyAlignment="1">
      <alignment vertical="center"/>
    </xf>
    <xf numFmtId="0" fontId="48" fillId="16" borderId="49" xfId="6" applyFont="1" applyFill="1" applyBorder="1" applyAlignment="1">
      <alignment horizontal="center" vertical="center"/>
    </xf>
    <xf numFmtId="0" fontId="50" fillId="64" borderId="243" xfId="6" applyFont="1" applyFill="1" applyBorder="1" applyAlignment="1">
      <alignment horizontal="center" vertical="center"/>
    </xf>
    <xf numFmtId="0" fontId="48" fillId="16" borderId="49" xfId="6" applyFont="1" applyFill="1" applyBorder="1" applyAlignment="1">
      <alignment horizontal="center" vertical="center" wrapText="1"/>
    </xf>
    <xf numFmtId="0" fontId="285" fillId="64" borderId="23" xfId="6" applyFont="1" applyFill="1" applyAlignment="1">
      <alignment vertical="center"/>
    </xf>
    <xf numFmtId="0" fontId="28" fillId="0" borderId="23" xfId="6" applyFont="1" applyAlignment="1">
      <alignment horizontal="center"/>
    </xf>
    <xf numFmtId="0" fontId="59" fillId="64" borderId="49" xfId="6" applyFont="1" applyFill="1" applyBorder="1" applyAlignment="1">
      <alignment vertical="center"/>
    </xf>
    <xf numFmtId="166" fontId="49" fillId="64" borderId="49" xfId="6" applyNumberFormat="1" applyFont="1" applyFill="1" applyBorder="1" applyAlignment="1">
      <alignment vertical="center"/>
    </xf>
    <xf numFmtId="166" fontId="49" fillId="64" borderId="243" xfId="6" applyNumberFormat="1" applyFont="1" applyFill="1" applyBorder="1" applyAlignment="1">
      <alignment vertical="center"/>
    </xf>
    <xf numFmtId="166" fontId="49" fillId="23" borderId="49" xfId="6" applyNumberFormat="1" applyFont="1" applyFill="1" applyBorder="1" applyAlignment="1" applyProtection="1">
      <alignment horizontal="center" vertical="center"/>
      <protection locked="0"/>
    </xf>
    <xf numFmtId="0" fontId="298" fillId="64" borderId="23" xfId="6" applyFont="1" applyFill="1" applyProtection="1">
      <protection locked="0"/>
    </xf>
    <xf numFmtId="3" fontId="285" fillId="0" borderId="23" xfId="6" applyNumberFormat="1" applyFont="1" applyAlignment="1" applyProtection="1">
      <alignment horizontal="right"/>
      <protection locked="0"/>
    </xf>
    <xf numFmtId="166" fontId="285" fillId="0" borderId="23" xfId="9" applyNumberFormat="1" applyFont="1" applyFill="1" applyBorder="1" applyAlignment="1" applyProtection="1">
      <alignment horizontal="center"/>
      <protection locked="0"/>
    </xf>
    <xf numFmtId="166" fontId="49" fillId="64" borderId="243" xfId="9" applyNumberFormat="1" applyFont="1" applyFill="1" applyBorder="1" applyAlignment="1" applyProtection="1">
      <alignment vertical="center"/>
    </xf>
    <xf numFmtId="9" fontId="49" fillId="64" borderId="49" xfId="6" applyNumberFormat="1" applyFont="1" applyFill="1" applyBorder="1" applyAlignment="1">
      <alignment vertical="center"/>
    </xf>
    <xf numFmtId="0" fontId="285" fillId="64" borderId="23" xfId="6" applyFont="1" applyFill="1"/>
    <xf numFmtId="0" fontId="300" fillId="64" borderId="23" xfId="6" applyFont="1" applyFill="1" applyProtection="1">
      <protection locked="0"/>
    </xf>
    <xf numFmtId="166" fontId="49" fillId="64" borderId="232" xfId="9" applyNumberFormat="1" applyFont="1" applyFill="1" applyBorder="1" applyAlignment="1" applyProtection="1">
      <alignment vertical="center"/>
    </xf>
    <xf numFmtId="0" fontId="50" fillId="16" borderId="49" xfId="6" applyFont="1" applyFill="1" applyBorder="1" applyAlignment="1">
      <alignment horizontal="left" vertical="center"/>
    </xf>
    <xf numFmtId="166" fontId="50" fillId="16" borderId="49" xfId="6" applyNumberFormat="1" applyFont="1" applyFill="1" applyBorder="1" applyAlignment="1">
      <alignment vertical="center"/>
    </xf>
    <xf numFmtId="10" fontId="50" fillId="16" borderId="49" xfId="6" applyNumberFormat="1" applyFont="1" applyFill="1" applyBorder="1" applyAlignment="1">
      <alignment vertical="center"/>
    </xf>
    <xf numFmtId="166" fontId="285" fillId="64" borderId="23" xfId="6" applyNumberFormat="1" applyFont="1" applyFill="1"/>
    <xf numFmtId="166" fontId="285" fillId="64" borderId="23" xfId="6" applyNumberFormat="1" applyFont="1" applyFill="1" applyProtection="1">
      <protection locked="0"/>
    </xf>
    <xf numFmtId="0" fontId="301" fillId="64" borderId="23" xfId="6" applyFont="1" applyFill="1" applyProtection="1">
      <protection locked="0"/>
    </xf>
    <xf numFmtId="0" fontId="62" fillId="16" borderId="23" xfId="6" applyFont="1" applyFill="1" applyAlignment="1" applyProtection="1">
      <alignment vertical="center"/>
      <protection locked="0"/>
    </xf>
    <xf numFmtId="10" fontId="62" fillId="16" borderId="23" xfId="6" applyNumberFormat="1" applyFont="1" applyFill="1" applyAlignment="1" applyProtection="1">
      <alignment vertical="center"/>
      <protection locked="0"/>
    </xf>
    <xf numFmtId="0" fontId="50" fillId="64" borderId="23" xfId="6" applyFont="1" applyFill="1" applyAlignment="1">
      <alignment vertical="center"/>
    </xf>
    <xf numFmtId="0" fontId="302" fillId="64" borderId="23" xfId="6" applyFont="1" applyFill="1" applyProtection="1">
      <protection locked="0"/>
    </xf>
    <xf numFmtId="0" fontId="50" fillId="16" borderId="51" xfId="6" applyFont="1" applyFill="1" applyBorder="1" applyAlignment="1">
      <alignment vertical="center"/>
    </xf>
    <xf numFmtId="0" fontId="49" fillId="16" borderId="231" xfId="6" applyFont="1" applyFill="1" applyBorder="1" applyAlignment="1" applyProtection="1">
      <alignment vertical="center"/>
      <protection locked="0"/>
    </xf>
    <xf numFmtId="0" fontId="50" fillId="16" borderId="52" xfId="6" applyFont="1" applyFill="1" applyBorder="1" applyAlignment="1" applyProtection="1">
      <alignment horizontal="center" vertical="center"/>
      <protection locked="0"/>
    </xf>
    <xf numFmtId="0" fontId="59" fillId="64" borderId="51" xfId="6" applyFont="1" applyFill="1" applyBorder="1" applyAlignment="1">
      <alignment vertical="center"/>
    </xf>
    <xf numFmtId="1" fontId="49" fillId="23" borderId="232" xfId="6" applyNumberFormat="1" applyFont="1" applyFill="1" applyBorder="1" applyAlignment="1" applyProtection="1">
      <alignment horizontal="center" vertical="center"/>
      <protection locked="0"/>
    </xf>
    <xf numFmtId="0" fontId="61" fillId="16" borderId="235" xfId="6" applyFont="1" applyFill="1" applyBorder="1"/>
    <xf numFmtId="0" fontId="62" fillId="16" borderId="236" xfId="6" applyFont="1" applyFill="1" applyBorder="1" applyProtection="1">
      <protection locked="0"/>
    </xf>
    <xf numFmtId="0" fontId="291" fillId="16" borderId="237" xfId="6" applyFont="1" applyFill="1" applyBorder="1" applyProtection="1">
      <protection locked="0"/>
    </xf>
    <xf numFmtId="0" fontId="49" fillId="39" borderId="238" xfId="6" applyFont="1" applyFill="1" applyBorder="1" applyAlignment="1">
      <alignment vertical="center"/>
    </xf>
    <xf numFmtId="0" fontId="49" fillId="39" borderId="23" xfId="6" applyFont="1" applyFill="1" applyAlignment="1" applyProtection="1">
      <alignment vertical="center"/>
      <protection locked="0"/>
    </xf>
    <xf numFmtId="0" fontId="49" fillId="39" borderId="239" xfId="6" applyFont="1" applyFill="1" applyBorder="1" applyAlignment="1" applyProtection="1">
      <alignment vertical="center"/>
      <protection locked="0"/>
    </xf>
    <xf numFmtId="0" fontId="48" fillId="16" borderId="23" xfId="6" applyFont="1" applyFill="1" applyAlignment="1">
      <alignment vertical="center"/>
    </xf>
    <xf numFmtId="0" fontId="100" fillId="16" borderId="23" xfId="6" applyFont="1" applyFill="1" applyProtection="1">
      <protection locked="0"/>
    </xf>
    <xf numFmtId="0" fontId="49" fillId="39" borderId="238" xfId="6" applyFont="1" applyFill="1" applyBorder="1" applyAlignment="1">
      <alignment vertical="top"/>
    </xf>
    <xf numFmtId="0" fontId="49" fillId="39" borderId="238" xfId="6" applyFont="1" applyFill="1" applyBorder="1" applyAlignment="1" applyProtection="1">
      <alignment vertical="center"/>
      <protection locked="0"/>
    </xf>
    <xf numFmtId="0" fontId="50" fillId="39" borderId="238" xfId="6" applyFont="1" applyFill="1" applyBorder="1" applyAlignment="1">
      <alignment vertical="center"/>
    </xf>
    <xf numFmtId="0" fontId="49" fillId="39" borderId="23" xfId="6" applyFont="1" applyFill="1" applyAlignment="1">
      <alignment vertical="center" wrapText="1"/>
    </xf>
    <xf numFmtId="165" fontId="49" fillId="39" borderId="49" xfId="6" applyNumberFormat="1" applyFont="1" applyFill="1" applyBorder="1" applyAlignment="1">
      <alignment horizontal="center" vertical="center"/>
    </xf>
    <xf numFmtId="166" fontId="49" fillId="39" borderId="49" xfId="9" applyNumberFormat="1" applyFont="1" applyFill="1" applyBorder="1" applyAlignment="1" applyProtection="1">
      <alignment horizontal="center" vertical="center"/>
    </xf>
    <xf numFmtId="0" fontId="49" fillId="64" borderId="23" xfId="6" applyFont="1" applyFill="1" applyAlignment="1" applyProtection="1">
      <alignment horizontal="left" vertical="center"/>
      <protection locked="0"/>
    </xf>
    <xf numFmtId="0" fontId="100" fillId="16" borderId="49" xfId="6" applyFont="1" applyFill="1" applyBorder="1" applyAlignment="1" applyProtection="1">
      <alignment vertical="center"/>
      <protection locked="0"/>
    </xf>
    <xf numFmtId="0" fontId="49" fillId="39" borderId="240" xfId="6" applyFont="1" applyFill="1" applyBorder="1" applyAlignment="1" applyProtection="1">
      <alignment vertical="center"/>
      <protection locked="0"/>
    </xf>
    <xf numFmtId="0" fontId="49" fillId="39" borderId="241" xfId="6" applyFont="1" applyFill="1" applyBorder="1" applyAlignment="1" applyProtection="1">
      <alignment vertical="center"/>
      <protection locked="0"/>
    </xf>
    <xf numFmtId="0" fontId="49" fillId="39" borderId="242" xfId="6" applyFont="1" applyFill="1" applyBorder="1" applyAlignment="1" applyProtection="1">
      <alignment vertical="center"/>
      <protection locked="0"/>
    </xf>
    <xf numFmtId="0" fontId="49" fillId="64" borderId="49" xfId="6" applyFont="1" applyFill="1" applyBorder="1" applyAlignment="1">
      <alignment vertical="center"/>
    </xf>
    <xf numFmtId="0" fontId="58" fillId="15" borderId="23" xfId="6" applyFont="1" applyFill="1" applyAlignment="1">
      <alignment vertical="center"/>
    </xf>
    <xf numFmtId="0" fontId="60" fillId="15" borderId="23" xfId="6" applyFont="1" applyFill="1" applyAlignment="1" applyProtection="1">
      <alignment vertical="center"/>
      <protection locked="0"/>
    </xf>
    <xf numFmtId="0" fontId="34" fillId="64" borderId="23" xfId="6" applyFill="1" applyAlignment="1" applyProtection="1">
      <alignment horizontal="center"/>
      <protection locked="0"/>
    </xf>
    <xf numFmtId="0" fontId="51" fillId="64" borderId="23" xfId="6" applyFont="1" applyFill="1" applyAlignment="1" applyProtection="1">
      <alignment vertical="center"/>
      <protection locked="0"/>
    </xf>
    <xf numFmtId="0" fontId="67" fillId="64" borderId="23" xfId="6" applyFont="1" applyFill="1" applyProtection="1">
      <protection locked="0"/>
    </xf>
    <xf numFmtId="0" fontId="43" fillId="0" borderId="23" xfId="6" applyFont="1" applyProtection="1">
      <protection locked="0"/>
    </xf>
    <xf numFmtId="0" fontId="304" fillId="64" borderId="23" xfId="6" applyFont="1" applyFill="1" applyAlignment="1">
      <alignment vertical="top"/>
    </xf>
    <xf numFmtId="0" fontId="304" fillId="64" borderId="23" xfId="6" applyFont="1" applyFill="1" applyAlignment="1" applyProtection="1">
      <alignment vertical="center"/>
      <protection locked="0"/>
    </xf>
    <xf numFmtId="0" fontId="305" fillId="64" borderId="23" xfId="6" applyFont="1" applyFill="1" applyAlignment="1" applyProtection="1">
      <alignment vertical="center"/>
      <protection locked="0"/>
    </xf>
    <xf numFmtId="0" fontId="306" fillId="64" borderId="23" xfId="6" applyFont="1" applyFill="1" applyProtection="1">
      <protection locked="0"/>
    </xf>
    <xf numFmtId="0" fontId="43" fillId="64" borderId="49" xfId="6" applyFont="1" applyFill="1" applyBorder="1" applyAlignment="1" applyProtection="1">
      <alignment horizontal="center" vertical="center"/>
      <protection locked="0"/>
    </xf>
    <xf numFmtId="0" fontId="307" fillId="64" borderId="23" xfId="6" applyFont="1" applyFill="1" applyAlignment="1" applyProtection="1">
      <alignment horizontal="center" vertical="center"/>
      <protection locked="0"/>
    </xf>
    <xf numFmtId="0" fontId="43" fillId="64" borderId="49" xfId="6" applyFont="1" applyFill="1" applyBorder="1" applyAlignment="1" applyProtection="1">
      <alignment horizontal="center" vertical="center" wrapText="1"/>
      <protection locked="0"/>
    </xf>
    <xf numFmtId="0" fontId="63" fillId="23" borderId="49" xfId="6" applyFont="1" applyFill="1" applyBorder="1" applyAlignment="1" applyProtection="1">
      <alignment horizontal="center" vertical="center"/>
      <protection locked="0"/>
    </xf>
    <xf numFmtId="0" fontId="63" fillId="64" borderId="23" xfId="6" applyFont="1" applyFill="1" applyAlignment="1" applyProtection="1">
      <alignment vertical="center"/>
      <protection locked="0"/>
    </xf>
    <xf numFmtId="0" fontId="63" fillId="23" borderId="49" xfId="6" applyFont="1" applyFill="1" applyBorder="1" applyAlignment="1" applyProtection="1">
      <alignment horizontal="center" vertical="center" wrapText="1"/>
      <protection locked="0"/>
    </xf>
    <xf numFmtId="0" fontId="34" fillId="14" borderId="23" xfId="6" applyFill="1" applyProtection="1">
      <protection locked="0"/>
    </xf>
    <xf numFmtId="0" fontId="308" fillId="14" borderId="23" xfId="6" applyFont="1" applyFill="1"/>
    <xf numFmtId="0" fontId="34" fillId="16" borderId="23" xfId="6" applyFill="1" applyAlignment="1" applyProtection="1">
      <alignment horizontal="left"/>
      <protection locked="0"/>
    </xf>
    <xf numFmtId="9" fontId="34" fillId="64" borderId="23" xfId="6" applyNumberFormat="1" applyFill="1" applyAlignment="1" applyProtection="1">
      <alignment horizontal="center"/>
      <protection locked="0"/>
    </xf>
    <xf numFmtId="0" fontId="309" fillId="14" borderId="23" xfId="6" applyFont="1" applyFill="1" applyProtection="1">
      <protection locked="0"/>
    </xf>
    <xf numFmtId="0" fontId="310" fillId="14" borderId="23" xfId="6" applyFont="1" applyFill="1"/>
    <xf numFmtId="0" fontId="311" fillId="64" borderId="23" xfId="6" applyFont="1" applyFill="1"/>
    <xf numFmtId="0" fontId="311" fillId="64" borderId="23" xfId="6" applyFont="1" applyFill="1" applyAlignment="1" applyProtection="1">
      <alignment horizontal="left"/>
      <protection locked="0"/>
    </xf>
    <xf numFmtId="0" fontId="311" fillId="64" borderId="23" xfId="6" applyFont="1" applyFill="1" applyProtection="1">
      <protection locked="0"/>
    </xf>
    <xf numFmtId="0" fontId="312" fillId="14" borderId="23" xfId="6" applyFont="1" applyFill="1"/>
    <xf numFmtId="0" fontId="313" fillId="16" borderId="49" xfId="6" applyFont="1" applyFill="1" applyBorder="1" applyAlignment="1">
      <alignment horizontal="center" vertical="center"/>
    </xf>
    <xf numFmtId="0" fontId="314" fillId="16" borderId="51" xfId="6" applyFont="1" applyFill="1" applyBorder="1" applyAlignment="1">
      <alignment vertical="center"/>
    </xf>
    <xf numFmtId="0" fontId="313" fillId="16" borderId="231" xfId="6" applyFont="1" applyFill="1" applyBorder="1" applyAlignment="1">
      <alignment vertical="center"/>
    </xf>
    <xf numFmtId="0" fontId="314" fillId="16" borderId="231" xfId="6" applyFont="1" applyFill="1" applyBorder="1" applyAlignment="1" applyProtection="1">
      <alignment vertical="center"/>
      <protection locked="0"/>
    </xf>
    <xf numFmtId="0" fontId="314" fillId="16" borderId="52" xfId="6" applyFont="1" applyFill="1" applyBorder="1" applyAlignment="1">
      <alignment horizontal="center" vertical="center"/>
    </xf>
    <xf numFmtId="0" fontId="315" fillId="64" borderId="23" xfId="6" applyFont="1" applyFill="1" applyAlignment="1" applyProtection="1">
      <alignment horizontal="center" vertical="center"/>
      <protection locked="0"/>
    </xf>
    <xf numFmtId="0" fontId="314" fillId="16" borderId="49" xfId="6" applyFont="1" applyFill="1" applyBorder="1" applyAlignment="1">
      <alignment horizontal="center" vertical="center"/>
    </xf>
    <xf numFmtId="0" fontId="301" fillId="14" borderId="23" xfId="6" applyFont="1" applyFill="1" applyProtection="1">
      <protection locked="0"/>
    </xf>
    <xf numFmtId="0" fontId="34" fillId="64" borderId="51" xfId="6" applyFill="1" applyBorder="1" applyAlignment="1">
      <alignment vertical="center"/>
    </xf>
    <xf numFmtId="0" fontId="34" fillId="64" borderId="231" xfId="6" applyFill="1" applyBorder="1" applyAlignment="1" applyProtection="1">
      <alignment vertical="center"/>
      <protection locked="0"/>
    </xf>
    <xf numFmtId="0" fontId="34" fillId="64" borderId="52" xfId="6" applyFill="1" applyBorder="1" applyAlignment="1" applyProtection="1">
      <alignment vertical="center"/>
      <protection locked="0"/>
    </xf>
    <xf numFmtId="166" fontId="34" fillId="23" borderId="49" xfId="6" applyNumberFormat="1" applyFill="1" applyBorder="1" applyAlignment="1" applyProtection="1">
      <alignment horizontal="center" vertical="center"/>
      <protection locked="0"/>
    </xf>
    <xf numFmtId="0" fontId="34" fillId="14" borderId="23" xfId="6" applyFill="1" applyAlignment="1" applyProtection="1">
      <alignment horizontal="center"/>
      <protection locked="0"/>
    </xf>
    <xf numFmtId="0" fontId="34" fillId="14" borderId="23" xfId="6" applyFill="1" applyAlignment="1">
      <alignment horizontal="center"/>
    </xf>
    <xf numFmtId="0" fontId="316" fillId="14" borderId="23" xfId="6" applyFont="1" applyFill="1" applyAlignment="1">
      <alignment horizontal="center"/>
    </xf>
    <xf numFmtId="0" fontId="317" fillId="14" borderId="23" xfId="6" applyFont="1" applyFill="1"/>
    <xf numFmtId="3" fontId="34" fillId="14" borderId="23" xfId="6" applyNumberFormat="1" applyFill="1" applyAlignment="1" applyProtection="1">
      <alignment horizontal="right"/>
      <protection locked="0"/>
    </xf>
    <xf numFmtId="3" fontId="34" fillId="14" borderId="23" xfId="9" applyNumberFormat="1" applyFont="1" applyFill="1" applyBorder="1" applyAlignment="1" applyProtection="1">
      <alignment horizontal="right"/>
      <protection locked="0"/>
    </xf>
    <xf numFmtId="166" fontId="34" fillId="14" borderId="23" xfId="9" applyNumberFormat="1" applyFont="1" applyFill="1" applyBorder="1" applyAlignment="1" applyProtection="1">
      <alignment horizontal="center"/>
      <protection locked="0"/>
    </xf>
    <xf numFmtId="0" fontId="316" fillId="14" borderId="23" xfId="6" applyFont="1" applyFill="1" applyAlignment="1" applyProtection="1">
      <alignment horizontal="right"/>
      <protection locked="0"/>
    </xf>
    <xf numFmtId="166" fontId="34" fillId="14" borderId="23" xfId="6" applyNumberFormat="1" applyFill="1" applyAlignment="1" applyProtection="1">
      <alignment horizontal="right"/>
      <protection locked="0"/>
    </xf>
    <xf numFmtId="9" fontId="34" fillId="14" borderId="23" xfId="6" applyNumberFormat="1" applyFill="1" applyAlignment="1" applyProtection="1">
      <alignment horizontal="center"/>
      <protection locked="0"/>
    </xf>
    <xf numFmtId="0" fontId="34" fillId="14" borderId="23" xfId="6" applyFill="1" applyAlignment="1" applyProtection="1">
      <alignment horizontal="right"/>
      <protection locked="0"/>
    </xf>
    <xf numFmtId="0" fontId="26" fillId="16" borderId="23" xfId="6" applyFont="1" applyFill="1" applyAlignment="1">
      <alignment vertical="center"/>
    </xf>
    <xf numFmtId="0" fontId="49" fillId="14" borderId="23" xfId="6" applyFont="1" applyFill="1" applyAlignment="1">
      <alignment vertical="center"/>
    </xf>
    <xf numFmtId="0" fontId="49" fillId="14" borderId="23" xfId="6" applyFont="1" applyFill="1" applyAlignment="1" applyProtection="1">
      <alignment vertical="center"/>
      <protection locked="0"/>
    </xf>
    <xf numFmtId="0" fontId="43" fillId="14" borderId="23" xfId="6" applyFont="1" applyFill="1" applyProtection="1">
      <protection locked="0"/>
    </xf>
    <xf numFmtId="0" fontId="43" fillId="14" borderId="23" xfId="6" applyFont="1" applyFill="1"/>
    <xf numFmtId="3" fontId="43" fillId="14" borderId="23" xfId="6" applyNumberFormat="1" applyFont="1" applyFill="1" applyAlignment="1" applyProtection="1">
      <alignment horizontal="right"/>
      <protection locked="0"/>
    </xf>
    <xf numFmtId="3" fontId="43" fillId="14" borderId="23" xfId="9" applyNumberFormat="1" applyFont="1" applyFill="1" applyBorder="1" applyAlignment="1" applyProtection="1">
      <alignment horizontal="right"/>
      <protection locked="0"/>
    </xf>
    <xf numFmtId="166" fontId="43" fillId="14" borderId="23" xfId="9" applyNumberFormat="1" applyFont="1" applyFill="1" applyBorder="1" applyAlignment="1" applyProtection="1">
      <alignment horizontal="center"/>
      <protection locked="0"/>
    </xf>
    <xf numFmtId="0" fontId="43" fillId="14" borderId="23" xfId="6" applyFont="1" applyFill="1" applyAlignment="1" applyProtection="1">
      <alignment horizontal="right"/>
      <protection locked="0"/>
    </xf>
    <xf numFmtId="0" fontId="43" fillId="64" borderId="23" xfId="6" applyFont="1" applyFill="1"/>
    <xf numFmtId="166" fontId="43" fillId="14" borderId="23" xfId="6" applyNumberFormat="1" applyFont="1" applyFill="1" applyAlignment="1" applyProtection="1">
      <alignment horizontal="right"/>
      <protection locked="0"/>
    </xf>
    <xf numFmtId="0" fontId="49" fillId="16" borderId="49" xfId="6" applyFont="1" applyFill="1" applyBorder="1" applyAlignment="1">
      <alignment horizontal="center" vertical="center"/>
    </xf>
    <xf numFmtId="0" fontId="49" fillId="16" borderId="231" xfId="6" applyFont="1" applyFill="1" applyBorder="1" applyAlignment="1">
      <alignment vertical="center"/>
    </xf>
    <xf numFmtId="0" fontId="50" fillId="16" borderId="231" xfId="6" applyFont="1" applyFill="1" applyBorder="1" applyAlignment="1" applyProtection="1">
      <alignment vertical="center"/>
      <protection locked="0"/>
    </xf>
    <xf numFmtId="0" fontId="50" fillId="16" borderId="52" xfId="6" applyFont="1" applyFill="1" applyBorder="1" applyAlignment="1">
      <alignment horizontal="center" vertical="center"/>
    </xf>
    <xf numFmtId="0" fontId="50" fillId="64" borderId="23" xfId="6" applyFont="1" applyFill="1" applyAlignment="1" applyProtection="1">
      <alignment horizontal="center" vertical="center"/>
      <protection locked="0"/>
    </xf>
    <xf numFmtId="0" fontId="50" fillId="16" borderId="49" xfId="6" applyFont="1" applyFill="1" applyBorder="1" applyAlignment="1">
      <alignment horizontal="center" vertical="center"/>
    </xf>
    <xf numFmtId="0" fontId="318" fillId="64" borderId="23" xfId="6" applyFont="1" applyFill="1" applyProtection="1">
      <protection locked="0"/>
    </xf>
    <xf numFmtId="0" fontId="49" fillId="0" borderId="51" xfId="6" applyFont="1" applyBorder="1" applyAlignment="1">
      <alignment vertical="center"/>
    </xf>
    <xf numFmtId="9" fontId="49" fillId="23" borderId="49" xfId="6" applyNumberFormat="1" applyFont="1" applyFill="1" applyBorder="1" applyAlignment="1" applyProtection="1">
      <alignment horizontal="center" vertical="center"/>
      <protection locked="0"/>
    </xf>
    <xf numFmtId="9" fontId="49" fillId="64" borderId="23" xfId="6" applyNumberFormat="1" applyFont="1" applyFill="1" applyAlignment="1" applyProtection="1">
      <alignment horizontal="center" vertical="center"/>
      <protection locked="0"/>
    </xf>
    <xf numFmtId="0" fontId="49" fillId="0" borderId="23" xfId="6" applyFont="1" applyAlignment="1" applyProtection="1">
      <alignment vertical="center"/>
      <protection locked="0"/>
    </xf>
    <xf numFmtId="0" fontId="49" fillId="16" borderId="238" xfId="6" applyFont="1" applyFill="1" applyBorder="1" applyAlignment="1" applyProtection="1">
      <alignment horizontal="center" vertical="center"/>
      <protection locked="0"/>
    </xf>
    <xf numFmtId="0" fontId="49" fillId="16" borderId="243" xfId="6" applyFont="1" applyFill="1" applyBorder="1" applyAlignment="1">
      <alignment horizontal="center" vertical="center"/>
    </xf>
    <xf numFmtId="0" fontId="49" fillId="16" borderId="243" xfId="6" applyFont="1" applyFill="1" applyBorder="1" applyAlignment="1" applyProtection="1">
      <alignment horizontal="center" vertical="center"/>
      <protection locked="0"/>
    </xf>
    <xf numFmtId="0" fontId="49" fillId="16" borderId="239" xfId="6" applyFont="1" applyFill="1" applyBorder="1" applyAlignment="1" applyProtection="1">
      <alignment horizontal="center" vertical="center"/>
      <protection locked="0"/>
    </xf>
    <xf numFmtId="0" fontId="49" fillId="16" borderId="238" xfId="6" applyFont="1" applyFill="1" applyBorder="1" applyAlignment="1">
      <alignment horizontal="center" vertical="center"/>
    </xf>
    <xf numFmtId="0" fontId="49" fillId="16" borderId="232" xfId="6" applyFont="1" applyFill="1" applyBorder="1" applyAlignment="1">
      <alignment horizontal="center" vertical="center"/>
    </xf>
    <xf numFmtId="0" fontId="48"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8" fillId="16" borderId="52" xfId="6" applyFont="1" applyFill="1" applyBorder="1" applyAlignment="1">
      <alignment horizontal="center" vertical="center"/>
    </xf>
    <xf numFmtId="0" fontId="49" fillId="14" borderId="247" xfId="6" applyFont="1" applyFill="1" applyBorder="1" applyAlignment="1">
      <alignment vertical="center"/>
    </xf>
    <xf numFmtId="3" fontId="49" fillId="66" borderId="49" xfId="6" applyNumberFormat="1" applyFont="1" applyFill="1" applyBorder="1" applyAlignment="1" applyProtection="1">
      <alignment horizontal="right" vertical="center"/>
      <protection locked="0"/>
    </xf>
    <xf numFmtId="3" fontId="49" fillId="67" borderId="49" xfId="6" applyNumberFormat="1" applyFont="1" applyFill="1" applyBorder="1" applyAlignment="1" applyProtection="1">
      <alignment horizontal="right" vertical="center"/>
      <protection locked="0"/>
    </xf>
    <xf numFmtId="3" fontId="49" fillId="48" borderId="51" xfId="6" applyNumberFormat="1" applyFont="1" applyFill="1" applyBorder="1" applyAlignment="1" applyProtection="1">
      <alignment horizontal="right" vertical="center"/>
      <protection locked="0"/>
    </xf>
    <xf numFmtId="3" fontId="49" fillId="48" borderId="248" xfId="9" applyNumberFormat="1" applyFont="1" applyFill="1" applyBorder="1" applyAlignment="1" applyProtection="1">
      <alignment horizontal="right" vertical="center"/>
      <protection locked="0"/>
    </xf>
    <xf numFmtId="166" fontId="49" fillId="65" borderId="49" xfId="9" applyNumberFormat="1" applyFont="1" applyFill="1" applyBorder="1" applyAlignment="1" applyProtection="1">
      <alignment horizontal="center" vertical="center"/>
      <protection locked="0"/>
    </xf>
    <xf numFmtId="0" fontId="49" fillId="16" borderId="249" xfId="6" applyFont="1" applyFill="1" applyBorder="1" applyAlignment="1" applyProtection="1">
      <alignment horizontal="right" vertical="center"/>
      <protection locked="0"/>
    </xf>
    <xf numFmtId="9" fontId="49" fillId="64" borderId="23" xfId="6" applyNumberFormat="1" applyFont="1" applyFill="1" applyAlignment="1">
      <alignment horizontal="center" vertical="center"/>
    </xf>
    <xf numFmtId="0" fontId="319" fillId="64" borderId="23" xfId="6" applyFont="1" applyFill="1" applyProtection="1">
      <protection locked="0"/>
    </xf>
    <xf numFmtId="3" fontId="49" fillId="68" borderId="49" xfId="6" applyNumberFormat="1" applyFont="1" applyFill="1" applyBorder="1" applyAlignment="1" applyProtection="1">
      <alignment horizontal="right" vertical="center"/>
      <protection locked="0"/>
    </xf>
    <xf numFmtId="166" fontId="49" fillId="14" borderId="242" xfId="6" applyNumberFormat="1" applyFont="1" applyFill="1" applyBorder="1" applyAlignment="1" applyProtection="1">
      <alignment horizontal="right" vertical="center"/>
      <protection locked="0"/>
    </xf>
    <xf numFmtId="0" fontId="49" fillId="14" borderId="249" xfId="6" applyFont="1" applyFill="1" applyBorder="1" applyAlignment="1" applyProtection="1">
      <alignment horizontal="right" vertical="center"/>
      <protection locked="0"/>
    </xf>
    <xf numFmtId="0" fontId="49" fillId="16" borderId="51" xfId="6" applyFont="1" applyFill="1" applyBorder="1" applyAlignment="1">
      <alignment horizontal="left" vertical="center"/>
    </xf>
    <xf numFmtId="10" fontId="49" fillId="16" borderId="49" xfId="6" applyNumberFormat="1" applyFont="1" applyFill="1" applyBorder="1" applyAlignment="1">
      <alignment horizontal="center" vertical="center"/>
    </xf>
    <xf numFmtId="0" fontId="320" fillId="64" borderId="23" xfId="6" applyFont="1" applyFill="1" applyProtection="1">
      <protection locked="0"/>
    </xf>
    <xf numFmtId="0" fontId="49" fillId="14" borderId="239" xfId="6" applyFont="1" applyFill="1" applyBorder="1" applyAlignment="1" applyProtection="1">
      <alignment horizontal="right" vertical="center"/>
      <protection locked="0"/>
    </xf>
    <xf numFmtId="0" fontId="49" fillId="64" borderId="23" xfId="6" applyFont="1" applyFill="1" applyAlignment="1">
      <alignment horizontal="left" vertical="center"/>
    </xf>
    <xf numFmtId="10" fontId="50" fillId="16" borderId="49" xfId="6" applyNumberFormat="1" applyFont="1" applyFill="1" applyBorder="1" applyAlignment="1">
      <alignment horizontal="center" vertical="center"/>
    </xf>
    <xf numFmtId="9" fontId="50" fillId="14" borderId="23" xfId="6" applyNumberFormat="1" applyFont="1" applyFill="1" applyAlignment="1" applyProtection="1">
      <alignment horizontal="center" vertical="center"/>
      <protection locked="0"/>
    </xf>
    <xf numFmtId="0" fontId="321" fillId="64" borderId="23" xfId="6" applyFont="1" applyFill="1" applyProtection="1">
      <protection locked="0"/>
    </xf>
    <xf numFmtId="0" fontId="49" fillId="16" borderId="250" xfId="6" applyFont="1" applyFill="1" applyBorder="1" applyAlignment="1" applyProtection="1">
      <alignment horizontal="right" vertical="center"/>
      <protection locked="0"/>
    </xf>
    <xf numFmtId="0" fontId="49" fillId="14" borderId="251" xfId="6" applyFont="1" applyFill="1" applyBorder="1" applyAlignment="1">
      <alignment vertical="center"/>
    </xf>
    <xf numFmtId="3" fontId="49" fillId="66" borderId="252" xfId="6" applyNumberFormat="1" applyFont="1" applyFill="1" applyBorder="1" applyAlignment="1" applyProtection="1">
      <alignment horizontal="right" vertical="center"/>
      <protection locked="0"/>
    </xf>
    <xf numFmtId="3" fontId="49" fillId="67" borderId="252" xfId="6" applyNumberFormat="1" applyFont="1" applyFill="1" applyBorder="1" applyAlignment="1" applyProtection="1">
      <alignment horizontal="right" vertical="center"/>
      <protection locked="0"/>
    </xf>
    <xf numFmtId="3" fontId="49" fillId="48" borderId="252" xfId="6" applyNumberFormat="1" applyFont="1" applyFill="1" applyBorder="1" applyAlignment="1" applyProtection="1">
      <alignment horizontal="right" vertical="center"/>
      <protection locked="0"/>
    </xf>
    <xf numFmtId="3" fontId="49" fillId="48" borderId="253" xfId="9" applyNumberFormat="1" applyFont="1" applyFill="1" applyBorder="1" applyAlignment="1" applyProtection="1">
      <alignment horizontal="right" vertical="center"/>
      <protection locked="0"/>
    </xf>
    <xf numFmtId="166" fontId="49" fillId="65" borderId="252" xfId="9" applyNumberFormat="1" applyFont="1" applyFill="1" applyBorder="1" applyAlignment="1" applyProtection="1">
      <alignment horizontal="center" vertical="center"/>
      <protection locked="0"/>
    </xf>
    <xf numFmtId="0" fontId="63" fillId="16" borderId="235" xfId="6" applyFont="1" applyFill="1" applyBorder="1" applyAlignment="1">
      <alignment vertical="center"/>
    </xf>
    <xf numFmtId="0" fontId="43" fillId="16" borderId="236" xfId="6" applyFont="1" applyFill="1" applyBorder="1" applyAlignment="1" applyProtection="1">
      <alignment vertical="center"/>
      <protection locked="0"/>
    </xf>
    <xf numFmtId="0" fontId="43" fillId="16" borderId="237" xfId="6" applyFont="1" applyFill="1" applyBorder="1" applyAlignment="1" applyProtection="1">
      <alignment vertical="center"/>
      <protection locked="0"/>
    </xf>
    <xf numFmtId="0" fontId="43" fillId="39" borderId="239" xfId="6" applyFont="1" applyFill="1" applyBorder="1" applyAlignment="1" applyProtection="1">
      <alignment vertical="center"/>
      <protection locked="0"/>
    </xf>
    <xf numFmtId="0" fontId="63" fillId="16" borderId="238" xfId="6" applyFont="1" applyFill="1" applyBorder="1" applyAlignment="1">
      <alignment vertical="center"/>
    </xf>
    <xf numFmtId="0" fontId="43" fillId="16" borderId="23" xfId="6" applyFont="1" applyFill="1" applyAlignment="1" applyProtection="1">
      <alignment vertical="center"/>
      <protection locked="0"/>
    </xf>
    <xf numFmtId="0" fontId="43" fillId="39" borderId="49" xfId="6" applyFont="1" applyFill="1" applyBorder="1" applyAlignment="1">
      <alignment horizontal="center" vertical="center" wrapText="1"/>
    </xf>
    <xf numFmtId="0" fontId="43" fillId="39" borderId="23" xfId="6" applyFont="1" applyFill="1" applyAlignment="1">
      <alignment vertical="center"/>
    </xf>
    <xf numFmtId="165" fontId="43" fillId="39" borderId="49" xfId="6" applyNumberFormat="1" applyFont="1" applyFill="1" applyBorder="1" applyAlignment="1">
      <alignment horizontal="center" vertical="center"/>
    </xf>
    <xf numFmtId="165" fontId="43" fillId="39" borderId="23" xfId="6" applyNumberFormat="1" applyFont="1" applyFill="1" applyAlignment="1" applyProtection="1">
      <alignment horizontal="center" vertical="center"/>
      <protection locked="0"/>
    </xf>
    <xf numFmtId="166" fontId="43" fillId="39" borderId="49" xfId="9" applyNumberFormat="1" applyFont="1" applyFill="1" applyBorder="1" applyAlignment="1" applyProtection="1">
      <alignment horizontal="center" vertical="center"/>
    </xf>
    <xf numFmtId="166" fontId="43" fillId="39" borderId="23" xfId="9" applyNumberFormat="1" applyFont="1" applyFill="1" applyBorder="1" applyAlignment="1" applyProtection="1">
      <alignment horizontal="center" vertical="center"/>
      <protection locked="0"/>
    </xf>
    <xf numFmtId="0" fontId="43" fillId="39" borderId="242" xfId="6" applyFont="1" applyFill="1" applyBorder="1" applyAlignment="1" applyProtection="1">
      <alignment vertical="center"/>
      <protection locked="0"/>
    </xf>
    <xf numFmtId="0" fontId="322" fillId="15" borderId="23" xfId="6" applyFont="1" applyFill="1" applyAlignment="1" applyProtection="1">
      <alignment vertical="center"/>
      <protection locked="0"/>
    </xf>
    <xf numFmtId="0" fontId="323" fillId="64" borderId="23" xfId="6" applyFont="1" applyFill="1" applyProtection="1">
      <protection locked="0"/>
    </xf>
    <xf numFmtId="0" fontId="324" fillId="64" borderId="23" xfId="6" applyFont="1" applyFill="1" applyProtection="1">
      <protection locked="0"/>
    </xf>
    <xf numFmtId="0" fontId="325" fillId="64" borderId="23" xfId="6" applyFont="1" applyFill="1"/>
    <xf numFmtId="0" fontId="50" fillId="64" borderId="23" xfId="6" applyFont="1" applyFill="1" applyProtection="1">
      <protection locked="0"/>
    </xf>
    <xf numFmtId="0" fontId="50" fillId="64" borderId="23" xfId="6" applyFont="1" applyFill="1" applyAlignment="1" applyProtection="1">
      <alignment vertical="center"/>
      <protection locked="0"/>
    </xf>
    <xf numFmtId="0" fontId="34" fillId="64" borderId="23" xfId="6" applyFill="1" applyAlignment="1" applyProtection="1">
      <alignment vertical="center"/>
      <protection locked="0"/>
    </xf>
    <xf numFmtId="0" fontId="50" fillId="16" borderId="49" xfId="6" applyFont="1" applyFill="1" applyBorder="1" applyAlignment="1">
      <alignment horizontal="center" vertical="center" wrapText="1"/>
    </xf>
    <xf numFmtId="0" fontId="326" fillId="64" borderId="23" xfId="6" applyFont="1" applyFill="1" applyProtection="1">
      <protection locked="0"/>
    </xf>
    <xf numFmtId="0" fontId="49" fillId="64" borderId="147" xfId="6" applyFont="1" applyFill="1" applyBorder="1" applyAlignment="1" applyProtection="1">
      <alignment vertical="center"/>
      <protection locked="0"/>
    </xf>
    <xf numFmtId="0" fontId="50" fillId="64" borderId="147" xfId="6" applyFont="1" applyFill="1" applyBorder="1" applyAlignment="1">
      <alignment horizontal="center" vertical="center"/>
    </xf>
    <xf numFmtId="0" fontId="301" fillId="64" borderId="23" xfId="6" applyFont="1" applyFill="1" applyAlignment="1" applyProtection="1">
      <alignment vertical="center"/>
      <protection locked="0"/>
    </xf>
    <xf numFmtId="0" fontId="326" fillId="64" borderId="23" xfId="6" applyFont="1" applyFill="1" applyAlignment="1" applyProtection="1">
      <alignment horizontal="center"/>
      <protection locked="0"/>
    </xf>
    <xf numFmtId="0" fontId="49" fillId="64" borderId="51" xfId="6" applyFont="1" applyFill="1" applyBorder="1" applyAlignment="1">
      <alignment horizontal="left" vertical="center"/>
    </xf>
    <xf numFmtId="166" fontId="49" fillId="64" borderId="23" xfId="6" applyNumberFormat="1" applyFont="1" applyFill="1" applyAlignment="1" applyProtection="1">
      <alignment horizontal="center" vertical="center"/>
      <protection locked="0"/>
    </xf>
    <xf numFmtId="0" fontId="49" fillId="64" borderId="234" xfId="6" applyFont="1" applyFill="1" applyBorder="1" applyAlignment="1">
      <alignment vertical="center"/>
    </xf>
    <xf numFmtId="0" fontId="53" fillId="64" borderId="147" xfId="6" applyFont="1" applyFill="1" applyBorder="1" applyAlignment="1" applyProtection="1">
      <alignment vertical="center"/>
      <protection locked="0"/>
    </xf>
    <xf numFmtId="0" fontId="49" fillId="64" borderId="233" xfId="6" applyFont="1" applyFill="1" applyBorder="1" applyAlignment="1" applyProtection="1">
      <alignment vertical="center"/>
      <protection locked="0"/>
    </xf>
    <xf numFmtId="166" fontId="49" fillId="23" borderId="232" xfId="6" applyNumberFormat="1" applyFont="1" applyFill="1" applyBorder="1" applyAlignment="1" applyProtection="1">
      <alignment horizontal="center" vertical="center"/>
      <protection locked="0"/>
    </xf>
    <xf numFmtId="0" fontId="49" fillId="64" borderId="55" xfId="6" applyFont="1" applyFill="1" applyBorder="1" applyAlignment="1">
      <alignment horizontal="center" vertical="center" wrapText="1"/>
    </xf>
    <xf numFmtId="0" fontId="53" fillId="64" borderId="23" xfId="6" applyFont="1" applyFill="1" applyAlignment="1" applyProtection="1">
      <alignment vertical="center"/>
      <protection locked="0"/>
    </xf>
    <xf numFmtId="166" fontId="49" fillId="0" borderId="232" xfId="6" applyNumberFormat="1" applyFont="1" applyBorder="1" applyAlignment="1" applyProtection="1">
      <alignment horizontal="center" vertical="center"/>
      <protection locked="0"/>
    </xf>
    <xf numFmtId="0" fontId="328" fillId="64" borderId="23" xfId="6" applyFont="1" applyFill="1" applyProtection="1">
      <protection locked="0"/>
    </xf>
    <xf numFmtId="0" fontId="51" fillId="64" borderId="231" xfId="6" applyFont="1" applyFill="1" applyBorder="1" applyAlignment="1" applyProtection="1">
      <alignment vertical="center"/>
      <protection locked="0"/>
    </xf>
    <xf numFmtId="0" fontId="109" fillId="14" borderId="23" xfId="6" applyFont="1" applyFill="1" applyAlignment="1">
      <alignment vertical="center"/>
    </xf>
    <xf numFmtId="0" fontId="109" fillId="14" borderId="23" xfId="6" applyFont="1" applyFill="1" applyAlignment="1" applyProtection="1">
      <alignment vertical="center"/>
      <protection locked="0"/>
    </xf>
    <xf numFmtId="0" fontId="329" fillId="14" borderId="23" xfId="6" applyFont="1" applyFill="1" applyAlignment="1" applyProtection="1">
      <alignment horizontal="right" vertical="center"/>
      <protection locked="0"/>
    </xf>
    <xf numFmtId="0" fontId="330" fillId="64" borderId="23" xfId="6" applyFont="1" applyFill="1" applyProtection="1">
      <protection locked="0"/>
    </xf>
    <xf numFmtId="0" fontId="49" fillId="0" borderId="49" xfId="6" applyFont="1" applyBorder="1" applyAlignment="1">
      <alignment vertical="center"/>
    </xf>
    <xf numFmtId="0" fontId="109" fillId="14" borderId="49" xfId="6" applyFont="1" applyFill="1" applyBorder="1" applyAlignment="1" applyProtection="1">
      <alignment vertical="center"/>
      <protection locked="0"/>
    </xf>
    <xf numFmtId="0" fontId="329" fillId="14" borderId="49" xfId="6" applyFont="1" applyFill="1" applyBorder="1" applyAlignment="1" applyProtection="1">
      <alignment horizontal="right" vertical="center"/>
      <protection locked="0"/>
    </xf>
    <xf numFmtId="0" fontId="331" fillId="64" borderId="23" xfId="6" applyFont="1" applyFill="1"/>
    <xf numFmtId="0" fontId="49" fillId="0" borderId="231" xfId="6" applyFont="1" applyBorder="1" applyAlignment="1" applyProtection="1">
      <alignment vertical="center"/>
      <protection locked="0"/>
    </xf>
    <xf numFmtId="0" fontId="49" fillId="0" borderId="52" xfId="6" applyFont="1" applyBorder="1" applyAlignment="1" applyProtection="1">
      <alignment vertical="center"/>
      <protection locked="0"/>
    </xf>
    <xf numFmtId="0" fontId="326" fillId="64" borderId="23" xfId="6" applyFont="1" applyFill="1"/>
    <xf numFmtId="0" fontId="50" fillId="64" borderId="248" xfId="6" applyFont="1" applyFill="1" applyBorder="1" applyAlignment="1">
      <alignment vertical="center"/>
    </xf>
    <xf numFmtId="0" fontId="49" fillId="64" borderId="146" xfId="6" applyFont="1" applyFill="1" applyBorder="1" applyAlignment="1" applyProtection="1">
      <alignment vertical="center"/>
      <protection locked="0"/>
    </xf>
    <xf numFmtId="0" fontId="49" fillId="64" borderId="254" xfId="6" applyFont="1" applyFill="1" applyBorder="1" applyAlignment="1" applyProtection="1">
      <alignment vertical="center"/>
      <protection locked="0"/>
    </xf>
    <xf numFmtId="166" fontId="49" fillId="23" borderId="243" xfId="6" applyNumberFormat="1" applyFont="1" applyFill="1" applyBorder="1" applyAlignment="1" applyProtection="1">
      <alignment horizontal="center" vertical="center"/>
      <protection locked="0"/>
    </xf>
    <xf numFmtId="0" fontId="49" fillId="16" borderId="51" xfId="6" applyFont="1" applyFill="1" applyBorder="1" applyAlignment="1">
      <alignment horizontal="left"/>
    </xf>
    <xf numFmtId="0" fontId="49" fillId="16" borderId="231" xfId="6" applyFont="1" applyFill="1" applyBorder="1" applyProtection="1">
      <protection locked="0"/>
    </xf>
    <xf numFmtId="0" fontId="49" fillId="16" borderId="52" xfId="6" applyFont="1" applyFill="1" applyBorder="1" applyProtection="1">
      <protection locked="0"/>
    </xf>
    <xf numFmtId="10" fontId="49" fillId="16" borderId="49" xfId="6" applyNumberFormat="1" applyFont="1" applyFill="1" applyBorder="1" applyAlignment="1">
      <alignment horizontal="center"/>
    </xf>
    <xf numFmtId="10" fontId="49" fillId="14" borderId="243" xfId="6" applyNumberFormat="1" applyFont="1" applyFill="1" applyBorder="1" applyAlignment="1" applyProtection="1">
      <alignment horizontal="center"/>
      <protection locked="0"/>
    </xf>
    <xf numFmtId="0" fontId="309" fillId="64" borderId="23" xfId="6" applyFont="1" applyFill="1" applyProtection="1">
      <protection locked="0"/>
    </xf>
    <xf numFmtId="0" fontId="48" fillId="16" borderId="23" xfId="6" applyFont="1" applyFill="1" applyAlignment="1" applyProtection="1">
      <alignment vertical="center"/>
      <protection locked="0"/>
    </xf>
    <xf numFmtId="0" fontId="72" fillId="16" borderId="23" xfId="6" applyFont="1" applyFill="1" applyAlignment="1" applyProtection="1">
      <alignment vertical="center"/>
      <protection locked="0"/>
    </xf>
    <xf numFmtId="0" fontId="49" fillId="14" borderId="23" xfId="6" applyFont="1" applyFill="1" applyProtection="1">
      <protection locked="0"/>
    </xf>
    <xf numFmtId="0" fontId="49" fillId="64" borderId="23" xfId="6" applyFont="1" applyFill="1" applyAlignment="1">
      <alignment vertical="top"/>
    </xf>
    <xf numFmtId="0" fontId="50" fillId="64" borderId="233" xfId="6" applyFont="1" applyFill="1" applyBorder="1" applyAlignment="1" applyProtection="1">
      <alignment horizontal="center" vertical="center"/>
      <protection locked="0"/>
    </xf>
    <xf numFmtId="0" fontId="49" fillId="64" borderId="234" xfId="6" applyFont="1" applyFill="1" applyBorder="1" applyAlignment="1" applyProtection="1">
      <alignment horizontal="center" vertical="center"/>
      <protection locked="0"/>
    </xf>
    <xf numFmtId="9" fontId="49" fillId="64" borderId="49" xfId="6" applyNumberFormat="1" applyFont="1" applyFill="1" applyBorder="1" applyAlignment="1">
      <alignment horizontal="center" vertical="center"/>
    </xf>
    <xf numFmtId="9" fontId="49" fillId="64" borderId="23" xfId="6" applyNumberFormat="1" applyFont="1" applyFill="1" applyAlignment="1" applyProtection="1">
      <alignment horizontal="center"/>
      <protection locked="0"/>
    </xf>
    <xf numFmtId="9" fontId="49" fillId="23" borderId="49" xfId="6" applyNumberFormat="1" applyFont="1" applyFill="1" applyBorder="1" applyAlignment="1" applyProtection="1">
      <alignment horizontal="center"/>
      <protection locked="0"/>
    </xf>
    <xf numFmtId="9" fontId="49" fillId="64" borderId="23" xfId="6" applyNumberFormat="1" applyFont="1" applyFill="1" applyProtection="1">
      <protection locked="0"/>
    </xf>
    <xf numFmtId="0" fontId="328" fillId="64" borderId="23" xfId="6" quotePrefix="1" applyFont="1" applyFill="1" applyProtection="1">
      <protection locked="0"/>
    </xf>
    <xf numFmtId="0" fontId="332" fillId="64" borderId="23" xfId="6" applyFont="1" applyFill="1" applyProtection="1">
      <protection locked="0"/>
    </xf>
    <xf numFmtId="9" fontId="49" fillId="16" borderId="231" xfId="6" applyNumberFormat="1" applyFont="1" applyFill="1" applyBorder="1" applyProtection="1">
      <protection locked="0"/>
    </xf>
    <xf numFmtId="9" fontId="49" fillId="16" borderId="52" xfId="6" applyNumberFormat="1" applyFont="1" applyFill="1" applyBorder="1" applyAlignment="1" applyProtection="1">
      <alignment horizontal="center"/>
      <protection locked="0"/>
    </xf>
    <xf numFmtId="0" fontId="49" fillId="64" borderId="147" xfId="6" applyFont="1" applyFill="1" applyBorder="1" applyProtection="1">
      <protection locked="0"/>
    </xf>
    <xf numFmtId="0" fontId="59" fillId="0" borderId="51" xfId="6" applyFont="1" applyBorder="1" applyAlignment="1">
      <alignment horizontal="left" vertical="center"/>
    </xf>
    <xf numFmtId="9" fontId="49" fillId="64" borderId="231" xfId="6" applyNumberFormat="1" applyFont="1" applyFill="1" applyBorder="1" applyAlignment="1" applyProtection="1">
      <alignment vertical="center"/>
      <protection locked="0"/>
    </xf>
    <xf numFmtId="9" fontId="49" fillId="64" borderId="52" xfId="6" applyNumberFormat="1" applyFont="1" applyFill="1" applyBorder="1" applyAlignment="1" applyProtection="1">
      <alignment vertical="center"/>
      <protection locked="0"/>
    </xf>
    <xf numFmtId="0" fontId="59" fillId="64" borderId="51" xfId="6" applyFont="1" applyFill="1" applyBorder="1" applyAlignment="1">
      <alignment horizontal="left" vertical="center"/>
    </xf>
    <xf numFmtId="9" fontId="49" fillId="23" borderId="232" xfId="6" applyNumberFormat="1" applyFont="1" applyFill="1" applyBorder="1" applyAlignment="1" applyProtection="1">
      <alignment horizontal="center" vertical="center"/>
      <protection locked="0"/>
    </xf>
    <xf numFmtId="0" fontId="49" fillId="16" borderId="52" xfId="6" applyFont="1" applyFill="1" applyBorder="1" applyAlignment="1" applyProtection="1">
      <alignment vertical="center"/>
      <protection locked="0"/>
    </xf>
    <xf numFmtId="10" fontId="49" fillId="14" borderId="23" xfId="6" applyNumberFormat="1" applyFont="1" applyFill="1" applyAlignment="1" applyProtection="1">
      <alignment horizontal="center" vertical="center"/>
      <protection locked="0"/>
    </xf>
    <xf numFmtId="0" fontId="49" fillId="64" borderId="23" xfId="6" applyFont="1" applyFill="1" applyAlignment="1">
      <alignment horizontal="left"/>
    </xf>
    <xf numFmtId="10" fontId="49" fillId="64" borderId="23" xfId="6" applyNumberFormat="1" applyFont="1" applyFill="1" applyAlignment="1">
      <alignment horizontal="center"/>
    </xf>
    <xf numFmtId="10" fontId="49" fillId="64" borderId="23" xfId="6" applyNumberFormat="1" applyFont="1" applyFill="1" applyAlignment="1" applyProtection="1">
      <alignment horizontal="center"/>
      <protection locked="0"/>
    </xf>
    <xf numFmtId="0" fontId="49" fillId="0" borderId="23" xfId="6" applyFont="1" applyAlignment="1">
      <alignment vertical="top"/>
    </xf>
    <xf numFmtId="0" fontId="49" fillId="0" borderId="23" xfId="6" applyFont="1" applyAlignment="1" applyProtection="1">
      <alignment vertical="top"/>
      <protection locked="0"/>
    </xf>
    <xf numFmtId="0" fontId="49" fillId="64" borderId="23" xfId="6" applyFont="1" applyFill="1" applyAlignment="1" applyProtection="1">
      <alignment vertical="top"/>
      <protection locked="0"/>
    </xf>
    <xf numFmtId="0" fontId="34" fillId="64" borderId="23" xfId="6" applyFill="1" applyAlignment="1" applyProtection="1">
      <alignment vertical="top"/>
      <protection locked="0"/>
    </xf>
    <xf numFmtId="0" fontId="34" fillId="64" borderId="23" xfId="6" applyFill="1" applyAlignment="1">
      <alignment vertical="top"/>
    </xf>
    <xf numFmtId="0" fontId="49" fillId="0" borderId="231" xfId="6" applyFont="1" applyBorder="1" applyAlignment="1">
      <alignment vertical="center"/>
    </xf>
    <xf numFmtId="0" fontId="49" fillId="0" borderId="231" xfId="6" applyFont="1" applyBorder="1" applyAlignment="1">
      <alignment horizontal="right" vertical="center"/>
    </xf>
    <xf numFmtId="0" fontId="59" fillId="0" borderId="234" xfId="6" applyFont="1" applyBorder="1" applyAlignment="1">
      <alignment vertical="center"/>
    </xf>
    <xf numFmtId="9" fontId="49" fillId="0" borderId="147" xfId="6" applyNumberFormat="1" applyFont="1" applyBorder="1" applyAlignment="1">
      <alignment vertical="center"/>
    </xf>
    <xf numFmtId="9" fontId="49" fillId="0" borderId="49" xfId="6" applyNumberFormat="1" applyFont="1" applyBorder="1" applyAlignment="1" applyProtection="1">
      <alignment horizontal="center" vertical="center"/>
      <protection locked="0"/>
    </xf>
    <xf numFmtId="9" fontId="49" fillId="0" borderId="23" xfId="6" applyNumberFormat="1" applyFont="1" applyAlignment="1" applyProtection="1">
      <alignment horizontal="center" vertical="center"/>
      <protection locked="0"/>
    </xf>
    <xf numFmtId="0" fontId="49" fillId="0" borderId="23" xfId="6" applyFont="1" applyAlignment="1">
      <alignment horizontal="left"/>
    </xf>
    <xf numFmtId="0" fontId="100" fillId="16" borderId="23" xfId="6" applyFont="1" applyFill="1" applyAlignment="1">
      <alignment horizontal="left" vertical="center"/>
    </xf>
    <xf numFmtId="0" fontId="100" fillId="16" borderId="23" xfId="6" applyFont="1" applyFill="1" applyAlignment="1" applyProtection="1">
      <alignment vertical="center"/>
      <protection locked="0"/>
    </xf>
    <xf numFmtId="0" fontId="49" fillId="0" borderId="23" xfId="6" applyFont="1" applyAlignment="1">
      <alignment horizontal="left" vertical="center"/>
    </xf>
    <xf numFmtId="9" fontId="49" fillId="16" borderId="231" xfId="6" applyNumberFormat="1" applyFont="1" applyFill="1" applyBorder="1" applyAlignment="1" applyProtection="1">
      <alignment vertical="center"/>
      <protection locked="0"/>
    </xf>
    <xf numFmtId="9" fontId="49" fillId="16" borderId="52" xfId="6" applyNumberFormat="1" applyFont="1" applyFill="1" applyBorder="1" applyAlignment="1" applyProtection="1">
      <alignment horizontal="center" vertical="center"/>
      <protection locked="0"/>
    </xf>
    <xf numFmtId="0" fontId="59" fillId="0" borderId="51" xfId="6" applyFont="1" applyBorder="1" applyAlignment="1">
      <alignment vertical="center"/>
    </xf>
    <xf numFmtId="9" fontId="49" fillId="0" borderId="231" xfId="6" applyNumberFormat="1" applyFont="1" applyBorder="1" applyAlignment="1" applyProtection="1">
      <alignment vertical="center"/>
      <protection locked="0"/>
    </xf>
    <xf numFmtId="9" fontId="49" fillId="0" borderId="52" xfId="6" applyNumberFormat="1" applyFont="1" applyBorder="1" applyAlignment="1" applyProtection="1">
      <alignment vertical="center"/>
      <protection locked="0"/>
    </xf>
    <xf numFmtId="9" fontId="49" fillId="0" borderId="23" xfId="6" applyNumberFormat="1" applyFont="1" applyAlignment="1" applyProtection="1">
      <alignment horizontal="center"/>
      <protection locked="0"/>
    </xf>
    <xf numFmtId="0" fontId="34" fillId="64" borderId="23" xfId="6" applyFill="1" applyAlignment="1">
      <alignment vertical="center"/>
    </xf>
    <xf numFmtId="0" fontId="59" fillId="64" borderId="49" xfId="6" applyFont="1" applyFill="1" applyBorder="1" applyAlignment="1">
      <alignment horizontal="left" vertical="center"/>
    </xf>
    <xf numFmtId="0" fontId="323" fillId="64" borderId="23" xfId="6" applyFont="1" applyFill="1"/>
    <xf numFmtId="0" fontId="34" fillId="0" borderId="23" xfId="6" applyProtection="1">
      <protection locked="0"/>
    </xf>
    <xf numFmtId="0" fontId="34" fillId="0" borderId="23" xfId="6"/>
    <xf numFmtId="0" fontId="325" fillId="14" borderId="23" xfId="6" applyFont="1" applyFill="1" applyProtection="1">
      <protection locked="0"/>
    </xf>
    <xf numFmtId="0" fontId="334" fillId="14" borderId="23" xfId="6" applyFont="1" applyFill="1" applyProtection="1">
      <protection locked="0"/>
    </xf>
    <xf numFmtId="0" fontId="63" fillId="16" borderId="49" xfId="6" applyFont="1" applyFill="1" applyBorder="1"/>
    <xf numFmtId="3" fontId="43" fillId="16" borderId="49" xfId="6" applyNumberFormat="1" applyFont="1" applyFill="1" applyBorder="1" applyAlignment="1">
      <alignment horizontal="center"/>
    </xf>
    <xf numFmtId="3" fontId="34" fillId="64" borderId="23" xfId="6" applyNumberFormat="1" applyFill="1" applyProtection="1">
      <protection locked="0"/>
    </xf>
    <xf numFmtId="0" fontId="43" fillId="64" borderId="49" xfId="6" applyFont="1" applyFill="1" applyBorder="1" applyProtection="1">
      <protection locked="0"/>
    </xf>
    <xf numFmtId="1" fontId="43" fillId="64" borderId="49" xfId="6" applyNumberFormat="1" applyFont="1" applyFill="1" applyBorder="1" applyAlignment="1" applyProtection="1">
      <alignment horizontal="center"/>
      <protection locked="0"/>
    </xf>
    <xf numFmtId="1" fontId="34" fillId="64" borderId="23" xfId="6" applyNumberFormat="1" applyFill="1" applyProtection="1">
      <protection locked="0"/>
    </xf>
    <xf numFmtId="0" fontId="335" fillId="64" borderId="23" xfId="6" applyFont="1" applyFill="1" applyProtection="1">
      <protection locked="0"/>
    </xf>
    <xf numFmtId="0" fontId="65" fillId="64" borderId="49" xfId="6" applyFont="1" applyFill="1" applyBorder="1" applyAlignment="1">
      <alignment horizontal="center"/>
    </xf>
    <xf numFmtId="3" fontId="43" fillId="64" borderId="49" xfId="6" applyNumberFormat="1" applyFont="1" applyFill="1" applyBorder="1" applyAlignment="1" applyProtection="1">
      <alignment horizontal="center"/>
      <protection locked="0"/>
    </xf>
    <xf numFmtId="0" fontId="59" fillId="64" borderId="49" xfId="6" applyFont="1" applyFill="1" applyBorder="1" applyAlignment="1">
      <alignment horizontal="left"/>
    </xf>
    <xf numFmtId="3" fontId="43" fillId="64" borderId="49" xfId="6" applyNumberFormat="1" applyFont="1" applyFill="1" applyBorder="1" applyAlignment="1">
      <alignment horizontal="center"/>
    </xf>
    <xf numFmtId="0" fontId="338" fillId="64" borderId="23" xfId="6" applyFont="1" applyFill="1" applyProtection="1">
      <protection locked="0"/>
    </xf>
    <xf numFmtId="0" fontId="279" fillId="64" borderId="23" xfId="6" applyFont="1" applyFill="1" applyAlignment="1">
      <alignment horizontal="right" vertical="center"/>
    </xf>
    <xf numFmtId="3" fontId="339" fillId="65" borderId="49" xfId="6" applyNumberFormat="1" applyFont="1" applyFill="1" applyBorder="1" applyAlignment="1">
      <alignment horizontal="center" vertical="center"/>
    </xf>
    <xf numFmtId="9" fontId="339" fillId="64" borderId="23" xfId="9" applyFont="1" applyFill="1" applyAlignment="1" applyProtection="1">
      <alignment horizontal="left" vertical="center"/>
    </xf>
    <xf numFmtId="9" fontId="339" fillId="64" borderId="23" xfId="9" applyFont="1" applyFill="1" applyProtection="1"/>
    <xf numFmtId="3" fontId="339" fillId="70" borderId="49" xfId="6" applyNumberFormat="1" applyFont="1" applyFill="1" applyBorder="1" applyAlignment="1">
      <alignment horizontal="center" vertical="center"/>
    </xf>
    <xf numFmtId="0" fontId="340" fillId="64" borderId="23" xfId="6" applyFont="1" applyFill="1"/>
    <xf numFmtId="0" fontId="280" fillId="64" borderId="23" xfId="6" applyFont="1" applyFill="1" applyAlignment="1" applyProtection="1">
      <alignment vertical="center"/>
      <protection locked="0"/>
    </xf>
    <xf numFmtId="3" fontId="335" fillId="64" borderId="23" xfId="6" applyNumberFormat="1" applyFont="1" applyFill="1" applyAlignment="1" applyProtection="1">
      <alignment vertical="center"/>
      <protection locked="0"/>
    </xf>
    <xf numFmtId="0" fontId="335" fillId="64" borderId="23" xfId="6" applyFont="1" applyFill="1" applyAlignment="1" applyProtection="1">
      <alignment vertical="center"/>
      <protection locked="0"/>
    </xf>
    <xf numFmtId="3" fontId="335" fillId="64" borderId="23" xfId="6" applyNumberFormat="1" applyFont="1" applyFill="1" applyAlignment="1" applyProtection="1">
      <alignment horizontal="center" vertical="center"/>
      <protection locked="0"/>
    </xf>
    <xf numFmtId="0" fontId="280" fillId="64" borderId="23" xfId="6" applyFont="1" applyFill="1" applyProtection="1">
      <protection locked="0"/>
    </xf>
    <xf numFmtId="3" fontId="335" fillId="65" borderId="49" xfId="6" applyNumberFormat="1" applyFont="1" applyFill="1" applyBorder="1" applyAlignment="1">
      <alignment horizontal="center" vertical="center"/>
    </xf>
    <xf numFmtId="9" fontId="335" fillId="64" borderId="23" xfId="9" applyFont="1" applyFill="1" applyAlignment="1" applyProtection="1">
      <alignment horizontal="left" vertical="center"/>
    </xf>
    <xf numFmtId="9" fontId="335" fillId="64" borderId="23" xfId="9" applyFont="1" applyFill="1" applyProtection="1"/>
    <xf numFmtId="3" fontId="335" fillId="70" borderId="49" xfId="6" applyNumberFormat="1" applyFont="1" applyFill="1" applyBorder="1" applyAlignment="1">
      <alignment horizontal="center" vertical="center"/>
    </xf>
    <xf numFmtId="0" fontId="59" fillId="64" borderId="49" xfId="6" applyFont="1" applyFill="1" applyBorder="1" applyProtection="1">
      <protection locked="0"/>
    </xf>
    <xf numFmtId="0" fontId="63" fillId="16" borderId="49" xfId="6" applyFont="1" applyFill="1" applyBorder="1" applyAlignment="1">
      <alignment horizontal="left"/>
    </xf>
    <xf numFmtId="9" fontId="335" fillId="64" borderId="23" xfId="6" applyNumberFormat="1" applyFont="1" applyFill="1" applyProtection="1">
      <protection locked="0"/>
    </xf>
    <xf numFmtId="0" fontId="341" fillId="64" borderId="23" xfId="6" applyFont="1" applyFill="1" applyProtection="1">
      <protection locked="0"/>
    </xf>
    <xf numFmtId="0" fontId="59" fillId="64" borderId="55" xfId="6" applyFont="1" applyFill="1" applyBorder="1" applyAlignment="1">
      <alignment horizontal="left"/>
    </xf>
    <xf numFmtId="0" fontId="59" fillId="0" borderId="49" xfId="6" applyFont="1" applyBorder="1" applyAlignment="1">
      <alignment horizontal="left" wrapText="1"/>
    </xf>
    <xf numFmtId="3" fontId="43" fillId="64" borderId="52" xfId="6" applyNumberFormat="1" applyFont="1" applyFill="1" applyBorder="1" applyAlignment="1">
      <alignment horizontal="center"/>
    </xf>
    <xf numFmtId="0" fontId="61" fillId="16" borderId="23" xfId="6" applyFont="1" applyFill="1" applyAlignment="1" applyProtection="1">
      <alignment vertical="center"/>
      <protection locked="0"/>
    </xf>
    <xf numFmtId="0" fontId="342" fillId="64" borderId="23" xfId="6" applyFont="1" applyFill="1" applyProtection="1">
      <protection locked="0"/>
    </xf>
    <xf numFmtId="0" fontId="43" fillId="64" borderId="233" xfId="6" applyFont="1" applyFill="1" applyBorder="1" applyProtection="1">
      <protection locked="0"/>
    </xf>
    <xf numFmtId="3" fontId="63" fillId="16" borderId="49" xfId="6" applyNumberFormat="1" applyFont="1" applyFill="1" applyBorder="1" applyAlignment="1">
      <alignment horizontal="center" vertical="center"/>
    </xf>
    <xf numFmtId="0" fontId="63" fillId="16" borderId="49" xfId="6" applyFont="1" applyFill="1" applyBorder="1" applyAlignment="1">
      <alignment horizontal="center" vertical="center"/>
    </xf>
    <xf numFmtId="0" fontId="312" fillId="64" borderId="23" xfId="6" applyFont="1" applyFill="1" applyProtection="1">
      <protection locked="0"/>
    </xf>
    <xf numFmtId="0" fontId="63" fillId="16" borderId="49" xfId="6" applyFont="1" applyFill="1" applyBorder="1" applyAlignment="1">
      <alignment vertical="center"/>
    </xf>
    <xf numFmtId="3" fontId="43" fillId="64" borderId="49" xfId="6" applyNumberFormat="1" applyFont="1" applyFill="1" applyBorder="1" applyProtection="1">
      <protection locked="0"/>
    </xf>
    <xf numFmtId="0" fontId="43" fillId="64" borderId="49" xfId="6" applyFont="1" applyFill="1" applyBorder="1" applyAlignment="1" applyProtection="1">
      <alignment vertical="center"/>
      <protection locked="0"/>
    </xf>
    <xf numFmtId="0" fontId="43" fillId="64" borderId="49" xfId="6" applyFont="1" applyFill="1" applyBorder="1" applyAlignment="1" applyProtection="1">
      <alignment horizontal="center"/>
      <protection locked="0"/>
    </xf>
    <xf numFmtId="0" fontId="43" fillId="64" borderId="231" xfId="6" applyFont="1" applyFill="1" applyBorder="1" applyAlignment="1" applyProtection="1">
      <alignment vertical="center"/>
      <protection locked="0"/>
    </xf>
    <xf numFmtId="3" fontId="43" fillId="64" borderId="146" xfId="6" applyNumberFormat="1" applyFont="1" applyFill="1" applyBorder="1" applyAlignment="1" applyProtection="1">
      <alignment horizontal="center"/>
      <protection locked="0"/>
    </xf>
    <xf numFmtId="0" fontId="63" fillId="16" borderId="49" xfId="6" applyFont="1" applyFill="1" applyBorder="1" applyAlignment="1">
      <alignment horizontal="left" vertical="center"/>
    </xf>
    <xf numFmtId="3" fontId="43" fillId="64" borderId="234" xfId="6" applyNumberFormat="1" applyFont="1" applyFill="1" applyBorder="1" applyAlignment="1" applyProtection="1">
      <alignment horizontal="center"/>
      <protection locked="0"/>
    </xf>
    <xf numFmtId="3" fontId="43" fillId="64" borderId="147" xfId="6" applyNumberFormat="1" applyFont="1" applyFill="1" applyBorder="1" applyAlignment="1" applyProtection="1">
      <alignment horizontal="center"/>
      <protection locked="0"/>
    </xf>
    <xf numFmtId="0" fontId="343" fillId="64" borderId="23" xfId="6" applyFont="1" applyFill="1" applyAlignment="1" applyProtection="1">
      <alignment horizontal="right"/>
      <protection locked="0"/>
    </xf>
    <xf numFmtId="0" fontId="343" fillId="64" borderId="23" xfId="6" applyFont="1" applyFill="1" applyProtection="1">
      <protection locked="0"/>
    </xf>
    <xf numFmtId="0" fontId="41" fillId="16" borderId="51" xfId="6" applyFont="1" applyFill="1" applyBorder="1" applyAlignment="1" applyProtection="1">
      <alignment horizontal="center" vertical="center"/>
      <protection locked="0"/>
    </xf>
    <xf numFmtId="0" fontId="41" fillId="16" borderId="52" xfId="6" applyFont="1" applyFill="1" applyBorder="1" applyAlignment="1">
      <alignment horizontal="right" vertical="center"/>
    </xf>
    <xf numFmtId="0" fontId="41" fillId="16" borderId="49" xfId="6" applyFont="1" applyFill="1" applyBorder="1" applyAlignment="1">
      <alignment horizontal="center" vertical="center"/>
    </xf>
    <xf numFmtId="3" fontId="47" fillId="64" borderId="49" xfId="6" applyNumberFormat="1" applyFont="1" applyFill="1" applyBorder="1" applyAlignment="1">
      <alignment horizontal="center" vertical="center"/>
    </xf>
    <xf numFmtId="0" fontId="43" fillId="64" borderId="231" xfId="6" applyFont="1" applyFill="1" applyBorder="1" applyProtection="1">
      <protection locked="0"/>
    </xf>
    <xf numFmtId="3" fontId="43" fillId="64" borderId="231" xfId="6" applyNumberFormat="1" applyFont="1" applyFill="1" applyBorder="1" applyAlignment="1" applyProtection="1">
      <alignment horizontal="center"/>
      <protection locked="0"/>
    </xf>
    <xf numFmtId="3" fontId="63" fillId="16" borderId="49" xfId="6" applyNumberFormat="1" applyFont="1" applyFill="1" applyBorder="1" applyAlignment="1">
      <alignment horizontal="center"/>
    </xf>
    <xf numFmtId="3" fontId="343" fillId="64" borderId="23" xfId="6" applyNumberFormat="1" applyFont="1" applyFill="1" applyProtection="1">
      <protection locked="0"/>
    </xf>
    <xf numFmtId="0" fontId="61" fillId="16" borderId="23" xfId="6" applyFont="1" applyFill="1" applyAlignment="1">
      <alignment horizontal="left" vertical="center"/>
    </xf>
    <xf numFmtId="0" fontId="34" fillId="0" borderId="231" xfId="6" applyBorder="1"/>
    <xf numFmtId="0" fontId="325" fillId="64" borderId="23" xfId="6" applyFont="1" applyFill="1" applyProtection="1">
      <protection locked="0"/>
    </xf>
    <xf numFmtId="3" fontId="63" fillId="64" borderId="233" xfId="6" applyNumberFormat="1" applyFont="1" applyFill="1" applyBorder="1" applyAlignment="1" applyProtection="1">
      <alignment horizontal="right"/>
      <protection locked="0"/>
    </xf>
    <xf numFmtId="0" fontId="43" fillId="64" borderId="49" xfId="6" applyFont="1" applyFill="1" applyBorder="1"/>
    <xf numFmtId="0" fontId="43" fillId="64" borderId="233" xfId="6" applyFont="1" applyFill="1" applyBorder="1" applyAlignment="1" applyProtection="1">
      <alignment horizontal="right"/>
      <protection locked="0"/>
    </xf>
    <xf numFmtId="0" fontId="43" fillId="64" borderId="49" xfId="6" applyFont="1" applyFill="1" applyBorder="1" applyAlignment="1">
      <alignment horizontal="right"/>
    </xf>
    <xf numFmtId="0" fontId="59" fillId="64" borderId="49" xfId="6" applyFont="1" applyFill="1" applyBorder="1" applyAlignment="1">
      <alignment horizontal="right"/>
    </xf>
    <xf numFmtId="3" fontId="43" fillId="64" borderId="49" xfId="6" applyNumberFormat="1" applyFont="1" applyFill="1" applyBorder="1" applyAlignment="1">
      <alignment horizontal="center" vertical="center"/>
    </xf>
    <xf numFmtId="3" fontId="59" fillId="64" borderId="49" xfId="6" applyNumberFormat="1" applyFont="1" applyFill="1" applyBorder="1" applyAlignment="1">
      <alignment horizontal="right" vertical="center"/>
    </xf>
    <xf numFmtId="3" fontId="43" fillId="64" borderId="49" xfId="6" applyNumberFormat="1" applyFont="1" applyFill="1" applyBorder="1" applyAlignment="1" applyProtection="1">
      <alignment horizontal="center" vertical="center"/>
      <protection locked="0"/>
    </xf>
    <xf numFmtId="3" fontId="59" fillId="64" borderId="49" xfId="6" applyNumberFormat="1" applyFont="1" applyFill="1" applyBorder="1" applyAlignment="1">
      <alignment horizontal="right"/>
    </xf>
    <xf numFmtId="0" fontId="59" fillId="64" borderId="49" xfId="6" applyFont="1" applyFill="1" applyBorder="1" applyAlignment="1">
      <alignment horizontal="right" vertical="center"/>
    </xf>
    <xf numFmtId="0" fontId="63" fillId="64" borderId="49" xfId="6" applyFont="1" applyFill="1" applyBorder="1" applyAlignment="1">
      <alignment horizontal="right"/>
    </xf>
    <xf numFmtId="0" fontId="62" fillId="14" borderId="23" xfId="6" applyFont="1" applyFill="1" applyAlignment="1" applyProtection="1">
      <alignment vertical="center"/>
      <protection locked="0"/>
    </xf>
    <xf numFmtId="0" fontId="50" fillId="16" borderId="49" xfId="6" applyFont="1" applyFill="1" applyBorder="1" applyAlignment="1">
      <alignment vertical="center"/>
    </xf>
    <xf numFmtId="3" fontId="49" fillId="16" borderId="49" xfId="6" applyNumberFormat="1" applyFont="1" applyFill="1" applyBorder="1" applyAlignment="1">
      <alignment horizontal="center" vertical="center"/>
    </xf>
    <xf numFmtId="3" fontId="49" fillId="64" borderId="231" xfId="6" applyNumberFormat="1" applyFont="1" applyFill="1" applyBorder="1" applyAlignment="1" applyProtection="1">
      <alignment horizontal="center" vertical="center"/>
      <protection locked="0"/>
    </xf>
    <xf numFmtId="0" fontId="344" fillId="64" borderId="23" xfId="6" applyFont="1" applyFill="1" applyProtection="1">
      <protection locked="0"/>
    </xf>
    <xf numFmtId="0" fontId="133" fillId="64" borderId="49" xfId="6" applyFont="1" applyFill="1" applyBorder="1" applyAlignment="1">
      <alignment horizontal="left" vertical="center"/>
    </xf>
    <xf numFmtId="3" fontId="49" fillId="64" borderId="49" xfId="6" applyNumberFormat="1" applyFont="1" applyFill="1" applyBorder="1" applyAlignment="1" applyProtection="1">
      <alignment horizontal="center" vertical="center"/>
      <protection locked="0"/>
    </xf>
    <xf numFmtId="3" fontId="49" fillId="64" borderId="49" xfId="6" applyNumberFormat="1" applyFont="1" applyFill="1" applyBorder="1" applyAlignment="1">
      <alignment horizontal="center" vertical="center"/>
    </xf>
    <xf numFmtId="0" fontId="43" fillId="64" borderId="23" xfId="6" applyFont="1" applyFill="1" applyAlignment="1" applyProtection="1">
      <alignment vertical="center"/>
      <protection locked="0"/>
    </xf>
    <xf numFmtId="3" fontId="63" fillId="65" borderId="49" xfId="6" applyNumberFormat="1" applyFont="1" applyFill="1" applyBorder="1" applyAlignment="1">
      <alignment horizontal="center" vertical="center"/>
    </xf>
    <xf numFmtId="9" fontId="63" fillId="64" borderId="23" xfId="9" applyFont="1" applyFill="1" applyAlignment="1" applyProtection="1">
      <alignment horizontal="left" vertical="center"/>
    </xf>
    <xf numFmtId="9" fontId="63" fillId="64" borderId="23" xfId="9" applyFont="1" applyFill="1" applyAlignment="1" applyProtection="1">
      <alignment vertical="center"/>
    </xf>
    <xf numFmtId="3" fontId="63" fillId="70" borderId="49" xfId="6" applyNumberFormat="1" applyFont="1" applyFill="1" applyBorder="1" applyAlignment="1">
      <alignment horizontal="center" vertical="center"/>
    </xf>
    <xf numFmtId="0" fontId="59" fillId="64" borderId="23" xfId="6" applyFont="1" applyFill="1" applyAlignment="1">
      <alignment vertical="center"/>
    </xf>
    <xf numFmtId="0" fontId="133" fillId="64" borderId="23" xfId="6" applyFont="1" applyFill="1" applyAlignment="1" applyProtection="1">
      <alignment vertical="center"/>
      <protection locked="0"/>
    </xf>
    <xf numFmtId="3" fontId="43" fillId="64" borderId="23" xfId="6" applyNumberFormat="1" applyFont="1" applyFill="1" applyAlignment="1" applyProtection="1">
      <alignment horizontal="center" vertical="center"/>
      <protection locked="0"/>
    </xf>
    <xf numFmtId="3" fontId="43" fillId="65" borderId="49" xfId="6" applyNumberFormat="1" applyFont="1" applyFill="1" applyBorder="1" applyAlignment="1">
      <alignment horizontal="center" vertical="center"/>
    </xf>
    <xf numFmtId="9" fontId="43" fillId="64" borderId="23" xfId="9" applyFont="1" applyFill="1" applyAlignment="1" applyProtection="1">
      <alignment horizontal="left" vertical="center"/>
    </xf>
    <xf numFmtId="9" fontId="43" fillId="64" borderId="23" xfId="9" applyFont="1" applyFill="1" applyAlignment="1" applyProtection="1">
      <alignment vertical="center"/>
    </xf>
    <xf numFmtId="3" fontId="43" fillId="70" borderId="49" xfId="6" applyNumberFormat="1" applyFont="1" applyFill="1" applyBorder="1" applyAlignment="1">
      <alignment horizontal="center" vertical="center"/>
    </xf>
    <xf numFmtId="9" fontId="43" fillId="64" borderId="23" xfId="6" applyNumberFormat="1" applyFont="1" applyFill="1" applyAlignment="1" applyProtection="1">
      <alignment vertical="center"/>
      <protection locked="0"/>
    </xf>
    <xf numFmtId="0" fontId="59" fillId="64" borderId="55" xfId="6" applyFont="1" applyFill="1" applyBorder="1" applyAlignment="1">
      <alignment horizontal="left" vertical="center"/>
    </xf>
    <xf numFmtId="0" fontId="59" fillId="0" borderId="49" xfId="6" applyFont="1" applyBorder="1" applyAlignment="1">
      <alignment horizontal="left" vertical="center" wrapText="1"/>
    </xf>
    <xf numFmtId="3" fontId="49" fillId="64" borderId="52" xfId="6" applyNumberFormat="1" applyFont="1" applyFill="1" applyBorder="1" applyAlignment="1">
      <alignment horizontal="center" vertical="center"/>
    </xf>
    <xf numFmtId="0" fontId="26" fillId="16" borderId="23" xfId="6" applyFont="1" applyFill="1" applyAlignment="1" applyProtection="1">
      <alignment vertical="center"/>
      <protection locked="0"/>
    </xf>
    <xf numFmtId="0" fontId="36" fillId="16" borderId="23" xfId="6" applyFont="1" applyFill="1" applyAlignment="1" applyProtection="1">
      <alignment vertical="center"/>
      <protection locked="0"/>
    </xf>
    <xf numFmtId="0" fontId="129" fillId="64" borderId="233" xfId="6" applyFont="1" applyFill="1" applyBorder="1" applyAlignment="1" applyProtection="1">
      <alignment vertical="center"/>
      <protection locked="0"/>
    </xf>
    <xf numFmtId="3" fontId="50" fillId="16" borderId="49" xfId="6" applyNumberFormat="1" applyFont="1" applyFill="1" applyBorder="1" applyAlignment="1">
      <alignment horizontal="center" vertical="center"/>
    </xf>
    <xf numFmtId="0" fontId="95" fillId="64" borderId="23" xfId="6" applyFont="1" applyFill="1" applyProtection="1">
      <protection locked="0"/>
    </xf>
    <xf numFmtId="0" fontId="345" fillId="64" borderId="23" xfId="6" applyFont="1" applyFill="1" applyProtection="1">
      <protection locked="0"/>
    </xf>
    <xf numFmtId="0" fontId="130" fillId="16" borderId="49" xfId="6" applyFont="1" applyFill="1" applyBorder="1" applyAlignment="1">
      <alignment vertical="center"/>
    </xf>
    <xf numFmtId="3" fontId="129" fillId="64" borderId="49" xfId="6" applyNumberFormat="1" applyFont="1" applyFill="1" applyBorder="1" applyAlignment="1" applyProtection="1">
      <alignment horizontal="center" vertical="center"/>
      <protection locked="0"/>
    </xf>
    <xf numFmtId="0" fontId="129" fillId="64" borderId="49" xfId="6" applyFont="1" applyFill="1" applyBorder="1" applyAlignment="1" applyProtection="1">
      <alignment horizontal="center" vertical="center"/>
      <protection locked="0"/>
    </xf>
    <xf numFmtId="0" fontId="129" fillId="64" borderId="49" xfId="6" applyFont="1" applyFill="1" applyBorder="1" applyAlignment="1" applyProtection="1">
      <alignment vertical="center"/>
      <protection locked="0"/>
    </xf>
    <xf numFmtId="3" fontId="129" fillId="64" borderId="49" xfId="6" applyNumberFormat="1" applyFont="1" applyFill="1" applyBorder="1" applyAlignment="1">
      <alignment horizontal="center" vertical="center"/>
    </xf>
    <xf numFmtId="0" fontId="129" fillId="64" borderId="231" xfId="6" applyFont="1" applyFill="1" applyBorder="1" applyAlignment="1" applyProtection="1">
      <alignment vertical="center"/>
      <protection locked="0"/>
    </xf>
    <xf numFmtId="3" fontId="129" fillId="64" borderId="146" xfId="6" applyNumberFormat="1" applyFont="1" applyFill="1" applyBorder="1" applyAlignment="1" applyProtection="1">
      <alignment horizontal="center" vertical="center"/>
      <protection locked="0"/>
    </xf>
    <xf numFmtId="0" fontId="129" fillId="64" borderId="146" xfId="6" applyFont="1" applyFill="1" applyBorder="1" applyAlignment="1" applyProtection="1">
      <alignment horizontal="center" vertical="center"/>
      <protection locked="0"/>
    </xf>
    <xf numFmtId="0" fontId="130" fillId="16" borderId="49" xfId="6" applyFont="1" applyFill="1" applyBorder="1" applyAlignment="1">
      <alignment horizontal="left" vertical="center"/>
    </xf>
    <xf numFmtId="3" fontId="129" fillId="64" borderId="234" xfId="6" applyNumberFormat="1" applyFont="1" applyFill="1" applyBorder="1" applyAlignment="1" applyProtection="1">
      <alignment horizontal="center" vertical="center"/>
      <protection locked="0"/>
    </xf>
    <xf numFmtId="3" fontId="129" fillId="64" borderId="147" xfId="6" applyNumberFormat="1" applyFont="1" applyFill="1" applyBorder="1" applyAlignment="1" applyProtection="1">
      <alignment horizontal="center" vertical="center"/>
      <protection locked="0"/>
    </xf>
    <xf numFmtId="0" fontId="346" fillId="64" borderId="23" xfId="6" applyFont="1" applyFill="1" applyAlignment="1" applyProtection="1">
      <alignment horizontal="right"/>
      <protection locked="0"/>
    </xf>
    <xf numFmtId="0" fontId="346" fillId="64" borderId="23" xfId="6" applyFont="1" applyFill="1" applyProtection="1">
      <protection locked="0"/>
    </xf>
    <xf numFmtId="0" fontId="95" fillId="14" borderId="49" xfId="6" applyFont="1" applyFill="1" applyBorder="1" applyAlignment="1" applyProtection="1">
      <alignment horizontal="center" vertical="center"/>
      <protection locked="0"/>
    </xf>
    <xf numFmtId="0" fontId="119" fillId="16" borderId="49" xfId="6" applyFont="1" applyFill="1" applyBorder="1" applyAlignment="1">
      <alignment horizontal="right" vertical="center"/>
    </xf>
    <xf numFmtId="0" fontId="119" fillId="16" borderId="49" xfId="6" applyFont="1" applyFill="1" applyBorder="1" applyAlignment="1">
      <alignment horizontal="center" vertical="center"/>
    </xf>
    <xf numFmtId="0" fontId="104" fillId="64" borderId="49" xfId="6" applyFont="1" applyFill="1" applyBorder="1" applyAlignment="1">
      <alignment vertical="center"/>
    </xf>
    <xf numFmtId="3" fontId="95" fillId="64" borderId="49" xfId="6" applyNumberFormat="1" applyFont="1" applyFill="1" applyBorder="1" applyAlignment="1">
      <alignment horizontal="center" vertical="center"/>
    </xf>
    <xf numFmtId="3" fontId="129" fillId="64" borderId="231" xfId="6" applyNumberFormat="1" applyFont="1" applyFill="1" applyBorder="1" applyAlignment="1" applyProtection="1">
      <alignment horizontal="center" vertical="center"/>
      <protection locked="0"/>
    </xf>
    <xf numFmtId="0" fontId="129" fillId="64" borderId="231" xfId="6" applyFont="1" applyFill="1" applyBorder="1" applyAlignment="1" applyProtection="1">
      <alignment horizontal="center" vertical="center"/>
      <protection locked="0"/>
    </xf>
    <xf numFmtId="3" fontId="130" fillId="16" borderId="49" xfId="6" applyNumberFormat="1" applyFont="1" applyFill="1" applyBorder="1" applyAlignment="1">
      <alignment horizontal="center" vertical="center"/>
    </xf>
    <xf numFmtId="3" fontId="346" fillId="64" borderId="23" xfId="6" applyNumberFormat="1" applyFont="1" applyFill="1" applyProtection="1">
      <protection locked="0"/>
    </xf>
    <xf numFmtId="0" fontId="62" fillId="16" borderId="23" xfId="6" applyFont="1" applyFill="1" applyAlignment="1" applyProtection="1">
      <alignment horizontal="left" vertical="center"/>
      <protection locked="0"/>
    </xf>
    <xf numFmtId="0" fontId="62" fillId="16" borderId="23" xfId="6" applyFont="1" applyFill="1"/>
    <xf numFmtId="0" fontId="63" fillId="16" borderId="49" xfId="6" applyFont="1" applyFill="1" applyBorder="1" applyAlignment="1">
      <alignment horizontal="center"/>
    </xf>
    <xf numFmtId="0" fontId="43" fillId="14" borderId="49" xfId="6" applyFont="1" applyFill="1" applyBorder="1" applyAlignment="1" applyProtection="1">
      <alignment horizontal="right"/>
      <protection locked="0"/>
    </xf>
    <xf numFmtId="0" fontId="63" fillId="16" borderId="49" xfId="6" applyFont="1" applyFill="1" applyBorder="1" applyAlignment="1">
      <alignment horizontal="right"/>
    </xf>
    <xf numFmtId="0" fontId="34" fillId="64" borderId="23" xfId="6" applyFill="1" applyAlignment="1">
      <alignment horizontal="right"/>
    </xf>
    <xf numFmtId="0" fontId="50" fillId="64" borderId="49" xfId="6" applyFont="1" applyFill="1" applyBorder="1" applyAlignment="1">
      <alignment horizontal="right" vertical="center"/>
    </xf>
    <xf numFmtId="0" fontId="50" fillId="64" borderId="49" xfId="6" applyFont="1" applyFill="1" applyBorder="1" applyAlignment="1">
      <alignment horizontal="right"/>
    </xf>
    <xf numFmtId="0" fontId="63" fillId="64" borderId="49" xfId="6" applyFont="1" applyFill="1" applyBorder="1" applyAlignment="1">
      <alignment horizontal="right" vertical="center"/>
    </xf>
    <xf numFmtId="0" fontId="26" fillId="16" borderId="23" xfId="6" applyFont="1" applyFill="1" applyAlignment="1">
      <alignment horizontal="left" vertical="center"/>
    </xf>
    <xf numFmtId="0" fontId="36" fillId="16" borderId="23" xfId="6" applyFont="1" applyFill="1" applyAlignment="1" applyProtection="1">
      <alignment horizontal="left" vertical="center"/>
      <protection locked="0"/>
    </xf>
    <xf numFmtId="3" fontId="43" fillId="16" borderId="49" xfId="6" applyNumberFormat="1" applyFont="1" applyFill="1" applyBorder="1" applyAlignment="1">
      <alignment horizontal="center" vertical="center"/>
    </xf>
    <xf numFmtId="0" fontId="133" fillId="64" borderId="231" xfId="6" applyFont="1" applyFill="1" applyBorder="1" applyAlignment="1" applyProtection="1">
      <alignment horizontal="left" vertical="center"/>
      <protection locked="0"/>
    </xf>
    <xf numFmtId="9" fontId="63" fillId="64" borderId="23" xfId="9" applyFont="1" applyFill="1" applyAlignment="1" applyProtection="1">
      <alignment horizontal="left"/>
    </xf>
    <xf numFmtId="9" fontId="43" fillId="64" borderId="23" xfId="9" applyFont="1" applyFill="1" applyAlignment="1" applyProtection="1">
      <alignment horizontal="left"/>
    </xf>
    <xf numFmtId="3" fontId="43" fillId="64" borderId="231" xfId="6" applyNumberFormat="1" applyFont="1" applyFill="1" applyBorder="1" applyAlignment="1" applyProtection="1">
      <alignment horizontal="center" vertical="center"/>
      <protection locked="0"/>
    </xf>
    <xf numFmtId="0" fontId="43" fillId="64" borderId="23" xfId="6" applyFont="1" applyFill="1" applyAlignment="1" applyProtection="1">
      <alignment horizontal="center" vertical="center"/>
      <protection locked="0"/>
    </xf>
    <xf numFmtId="9" fontId="43" fillId="64" borderId="23" xfId="6" applyNumberFormat="1" applyFont="1" applyFill="1" applyProtection="1">
      <protection locked="0"/>
    </xf>
    <xf numFmtId="0" fontId="43" fillId="64" borderId="23" xfId="6" applyFont="1" applyFill="1" applyAlignment="1" applyProtection="1">
      <alignment horizontal="center"/>
      <protection locked="0"/>
    </xf>
    <xf numFmtId="3" fontId="43" fillId="64" borderId="52" xfId="6" applyNumberFormat="1" applyFont="1" applyFill="1" applyBorder="1" applyAlignment="1">
      <alignment horizontal="center" vertical="center"/>
    </xf>
    <xf numFmtId="3" fontId="50" fillId="16" borderId="49" xfId="6" applyNumberFormat="1" applyFont="1" applyFill="1" applyBorder="1" applyAlignment="1">
      <alignment vertical="center"/>
    </xf>
    <xf numFmtId="0" fontId="312" fillId="64" borderId="23" xfId="6" applyFont="1" applyFill="1" applyAlignment="1" applyProtection="1">
      <alignment vertical="center"/>
      <protection locked="0"/>
    </xf>
    <xf numFmtId="0" fontId="49" fillId="64" borderId="49" xfId="6" applyFont="1" applyFill="1" applyBorder="1" applyAlignment="1" applyProtection="1">
      <alignment horizontal="center" vertical="center"/>
      <protection locked="0"/>
    </xf>
    <xf numFmtId="0" fontId="49" fillId="64" borderId="49" xfId="6" applyFont="1" applyFill="1" applyBorder="1" applyAlignment="1" applyProtection="1">
      <alignment vertical="center"/>
      <protection locked="0"/>
    </xf>
    <xf numFmtId="3" fontId="49" fillId="64" borderId="146" xfId="6" applyNumberFormat="1" applyFont="1" applyFill="1" applyBorder="1" applyAlignment="1" applyProtection="1">
      <alignment horizontal="center" vertical="center"/>
      <protection locked="0"/>
    </xf>
    <xf numFmtId="3" fontId="49" fillId="64" borderId="234" xfId="6" applyNumberFormat="1" applyFont="1" applyFill="1" applyBorder="1" applyAlignment="1" applyProtection="1">
      <alignment horizontal="center" vertical="center"/>
      <protection locked="0"/>
    </xf>
    <xf numFmtId="3" fontId="49" fillId="64" borderId="147" xfId="6" applyNumberFormat="1" applyFont="1" applyFill="1" applyBorder="1" applyAlignment="1" applyProtection="1">
      <alignment horizontal="center" vertical="center"/>
      <protection locked="0"/>
    </xf>
    <xf numFmtId="0" fontId="347" fillId="64" borderId="23" xfId="6" applyFont="1" applyFill="1" applyAlignment="1" applyProtection="1">
      <alignment horizontal="right" vertical="center"/>
      <protection locked="0"/>
    </xf>
    <xf numFmtId="0" fontId="347" fillId="64" borderId="23" xfId="6" applyFont="1" applyFill="1" applyAlignment="1" applyProtection="1">
      <alignment vertical="center"/>
      <protection locked="0"/>
    </xf>
    <xf numFmtId="0" fontId="63" fillId="14" borderId="49" xfId="6" applyFont="1" applyFill="1" applyBorder="1" applyAlignment="1" applyProtection="1">
      <alignment vertical="center"/>
      <protection locked="0"/>
    </xf>
    <xf numFmtId="0" fontId="63" fillId="16" borderId="49" xfId="6" applyFont="1" applyFill="1" applyBorder="1" applyAlignment="1">
      <alignment horizontal="right" vertical="center"/>
    </xf>
    <xf numFmtId="0" fontId="343" fillId="64" borderId="23" xfId="6" applyFont="1" applyFill="1" applyAlignment="1" applyProtection="1">
      <alignment horizontal="right" vertical="center"/>
      <protection locked="0"/>
    </xf>
    <xf numFmtId="3" fontId="343" fillId="64" borderId="23" xfId="6" applyNumberFormat="1" applyFont="1" applyFill="1" applyAlignment="1" applyProtection="1">
      <alignment vertical="center"/>
      <protection locked="0"/>
    </xf>
    <xf numFmtId="0" fontId="313" fillId="16" borderId="23" xfId="6" applyFont="1" applyFill="1" applyAlignment="1" applyProtection="1">
      <alignment vertical="center"/>
      <protection locked="0"/>
    </xf>
    <xf numFmtId="0" fontId="34" fillId="14" borderId="23" xfId="6" applyFill="1" applyAlignment="1" applyProtection="1">
      <alignment vertical="center"/>
      <protection locked="0"/>
    </xf>
    <xf numFmtId="0" fontId="313" fillId="16" borderId="23" xfId="6" applyFont="1" applyFill="1" applyAlignment="1">
      <alignment vertical="center"/>
    </xf>
    <xf numFmtId="0" fontId="34" fillId="14" borderId="23" xfId="6" applyFill="1" applyAlignment="1">
      <alignment vertical="center"/>
    </xf>
    <xf numFmtId="0" fontId="34" fillId="0" borderId="23" xfId="6" applyAlignment="1">
      <alignment vertical="center"/>
    </xf>
    <xf numFmtId="3" fontId="63" fillId="64" borderId="233" xfId="6" applyNumberFormat="1" applyFont="1" applyFill="1" applyBorder="1" applyAlignment="1" applyProtection="1">
      <alignment horizontal="right" vertical="center"/>
      <protection locked="0"/>
    </xf>
    <xf numFmtId="0" fontId="43" fillId="64" borderId="49" xfId="6" applyFont="1" applyFill="1" applyBorder="1" applyAlignment="1" applyProtection="1">
      <alignment horizontal="right" vertical="center"/>
      <protection locked="0"/>
    </xf>
    <xf numFmtId="0" fontId="34" fillId="64" borderId="23" xfId="6" applyFill="1" applyAlignment="1">
      <alignment horizontal="right" wrapText="1"/>
    </xf>
    <xf numFmtId="0" fontId="34" fillId="64" borderId="23" xfId="6" applyFill="1" applyAlignment="1" applyProtection="1">
      <alignment horizontal="right"/>
      <protection locked="0"/>
    </xf>
    <xf numFmtId="0" fontId="34" fillId="64" borderId="23" xfId="6" applyFill="1" applyAlignment="1" applyProtection="1">
      <alignment horizontal="center" vertical="center"/>
      <protection locked="0"/>
    </xf>
    <xf numFmtId="0" fontId="100" fillId="16" borderId="23" xfId="6" applyFont="1" applyFill="1" applyAlignment="1" applyProtection="1">
      <alignment horizontal="center" vertical="center"/>
      <protection locked="0"/>
    </xf>
    <xf numFmtId="0" fontId="325" fillId="0" borderId="23" xfId="6" applyFont="1" applyProtection="1">
      <protection locked="0"/>
    </xf>
    <xf numFmtId="0" fontId="334" fillId="64" borderId="23" xfId="6" applyFont="1" applyFill="1" applyProtection="1">
      <protection locked="0"/>
    </xf>
    <xf numFmtId="1" fontId="43" fillId="64" borderId="231" xfId="6" applyNumberFormat="1" applyFont="1" applyFill="1" applyBorder="1" applyAlignment="1" applyProtection="1">
      <alignment horizontal="center"/>
      <protection locked="0"/>
    </xf>
    <xf numFmtId="0" fontId="133" fillId="64" borderId="49" xfId="6" applyFont="1" applyFill="1" applyBorder="1" applyAlignment="1">
      <alignment horizontal="left"/>
    </xf>
    <xf numFmtId="0" fontId="348" fillId="64" borderId="23" xfId="6" applyFont="1" applyFill="1" applyProtection="1">
      <protection locked="0"/>
    </xf>
    <xf numFmtId="3" fontId="43" fillId="23" borderId="49" xfId="6" applyNumberFormat="1" applyFont="1" applyFill="1" applyBorder="1" applyAlignment="1" applyProtection="1">
      <alignment horizontal="center" vertical="center"/>
      <protection locked="0"/>
    </xf>
    <xf numFmtId="0" fontId="63" fillId="16" borderId="23" xfId="6" applyFont="1" applyFill="1" applyAlignment="1" applyProtection="1">
      <alignment horizontal="left" vertical="center"/>
      <protection locked="0"/>
    </xf>
    <xf numFmtId="0" fontId="43" fillId="16" borderId="23" xfId="6" applyFont="1" applyFill="1" applyAlignment="1" applyProtection="1">
      <alignment horizontal="left" vertical="center"/>
      <protection locked="0"/>
    </xf>
    <xf numFmtId="3" fontId="63" fillId="64" borderId="49" xfId="6" applyNumberFormat="1" applyFont="1" applyFill="1" applyBorder="1" applyAlignment="1" applyProtection="1">
      <alignment horizontal="right" vertical="center"/>
      <protection locked="0"/>
    </xf>
    <xf numFmtId="0" fontId="43" fillId="64" borderId="51" xfId="6" applyFont="1" applyFill="1" applyBorder="1" applyAlignment="1" applyProtection="1">
      <alignment vertical="center"/>
      <protection locked="0"/>
    </xf>
    <xf numFmtId="0" fontId="43" fillId="64" borderId="52" xfId="6" applyFont="1" applyFill="1" applyBorder="1" applyAlignment="1" applyProtection="1">
      <alignment horizontal="right" vertical="center"/>
      <protection locked="0"/>
    </xf>
    <xf numFmtId="3" fontId="59" fillId="64" borderId="52" xfId="6" applyNumberFormat="1" applyFont="1" applyFill="1" applyBorder="1" applyAlignment="1">
      <alignment horizontal="right" vertical="center"/>
    </xf>
    <xf numFmtId="3" fontId="49" fillId="64" borderId="49" xfId="6" applyNumberFormat="1" applyFont="1" applyFill="1" applyBorder="1" applyAlignment="1">
      <alignment vertical="center"/>
    </xf>
    <xf numFmtId="0" fontId="43" fillId="64" borderId="51" xfId="6" applyFont="1" applyFill="1" applyBorder="1" applyAlignment="1">
      <alignment horizontal="right" vertical="center"/>
    </xf>
    <xf numFmtId="0" fontId="63" fillId="64" borderId="52" xfId="6" applyFont="1" applyFill="1" applyBorder="1" applyAlignment="1">
      <alignment horizontal="right" vertical="center"/>
    </xf>
    <xf numFmtId="3" fontId="49" fillId="64" borderId="49" xfId="6" applyNumberFormat="1" applyFont="1" applyFill="1" applyBorder="1" applyAlignment="1">
      <alignment horizontal="right" vertical="center"/>
    </xf>
    <xf numFmtId="3" fontId="49" fillId="64" borderId="49" xfId="6" applyNumberFormat="1" applyFont="1" applyFill="1" applyBorder="1" applyAlignment="1">
      <alignment horizontal="left" vertical="center"/>
    </xf>
    <xf numFmtId="0" fontId="63" fillId="16" borderId="49" xfId="6" applyFont="1" applyFill="1" applyBorder="1" applyAlignment="1">
      <alignment horizontal="center" vertical="center" wrapText="1"/>
    </xf>
    <xf numFmtId="0" fontId="43" fillId="64" borderId="231" xfId="6" applyFont="1" applyFill="1" applyBorder="1" applyAlignment="1" applyProtection="1">
      <alignment horizontal="center"/>
      <protection locked="0"/>
    </xf>
    <xf numFmtId="0" fontId="65" fillId="64" borderId="49" xfId="6" applyFont="1" applyFill="1" applyBorder="1" applyAlignment="1">
      <alignment horizontal="left" vertical="center"/>
    </xf>
    <xf numFmtId="166" fontId="43" fillId="64" borderId="231" xfId="9" applyNumberFormat="1" applyFont="1" applyFill="1" applyBorder="1" applyAlignment="1" applyProtection="1">
      <alignment horizontal="center" vertical="center"/>
      <protection locked="0"/>
    </xf>
    <xf numFmtId="0" fontId="349" fillId="64" borderId="23" xfId="6" applyFont="1" applyFill="1" applyProtection="1">
      <protection locked="0"/>
    </xf>
    <xf numFmtId="0" fontId="26" fillId="16" borderId="23" xfId="6" applyFont="1" applyFill="1" applyProtection="1">
      <protection locked="0"/>
    </xf>
    <xf numFmtId="0" fontId="43" fillId="64" borderId="147" xfId="6" applyFont="1" applyFill="1" applyBorder="1" applyAlignment="1" applyProtection="1">
      <alignment vertical="center"/>
      <protection locked="0"/>
    </xf>
    <xf numFmtId="0" fontId="43" fillId="64" borderId="233" xfId="6" applyFont="1" applyFill="1" applyBorder="1" applyAlignment="1" applyProtection="1">
      <alignment vertical="center"/>
      <protection locked="0"/>
    </xf>
    <xf numFmtId="0" fontId="63" fillId="64" borderId="49" xfId="6" applyFont="1" applyFill="1" applyBorder="1" applyAlignment="1">
      <alignment vertical="center"/>
    </xf>
    <xf numFmtId="0" fontId="63" fillId="64" borderId="23" xfId="6" applyFont="1" applyFill="1" applyProtection="1">
      <protection locked="0"/>
    </xf>
    <xf numFmtId="0" fontId="133" fillId="64" borderId="49" xfId="6" applyFont="1" applyFill="1" applyBorder="1" applyAlignment="1" applyProtection="1">
      <alignment vertical="center"/>
      <protection locked="0"/>
    </xf>
    <xf numFmtId="0" fontId="350" fillId="15" borderId="23" xfId="6" applyFont="1" applyFill="1" applyAlignment="1">
      <alignment vertical="center"/>
    </xf>
    <xf numFmtId="0" fontId="351" fillId="15" borderId="23" xfId="6" applyFont="1" applyFill="1" applyAlignment="1" applyProtection="1">
      <alignment vertical="center"/>
      <protection locked="0"/>
    </xf>
    <xf numFmtId="0" fontId="350" fillId="15" borderId="23" xfId="6" applyFont="1" applyFill="1" applyAlignment="1" applyProtection="1">
      <alignment vertical="center"/>
      <protection locked="0"/>
    </xf>
    <xf numFmtId="0" fontId="351" fillId="15" borderId="23" xfId="6" applyFont="1" applyFill="1" applyAlignment="1">
      <alignment vertical="center"/>
    </xf>
    <xf numFmtId="0" fontId="328" fillId="71" borderId="23" xfId="6" applyFont="1" applyFill="1" applyProtection="1">
      <protection locked="0"/>
    </xf>
    <xf numFmtId="0" fontId="43" fillId="14" borderId="23" xfId="6" applyFont="1" applyFill="1" applyAlignment="1" applyProtection="1">
      <alignment vertical="center"/>
      <protection locked="0"/>
    </xf>
    <xf numFmtId="0" fontId="34" fillId="71" borderId="23" xfId="6" applyFill="1" applyProtection="1">
      <protection locked="0"/>
    </xf>
    <xf numFmtId="0" fontId="49" fillId="15" borderId="23" xfId="6" applyFont="1" applyFill="1" applyAlignment="1">
      <alignment horizontal="right" vertical="center"/>
    </xf>
    <xf numFmtId="0" fontId="49" fillId="15" borderId="23" xfId="6" applyFont="1" applyFill="1" applyAlignment="1">
      <alignment vertical="center"/>
    </xf>
    <xf numFmtId="0" fontId="34" fillId="71" borderId="23" xfId="6" applyFill="1"/>
    <xf numFmtId="0" fontId="50" fillId="14" borderId="23" xfId="6" applyFont="1" applyFill="1" applyAlignment="1" applyProtection="1">
      <alignment vertical="center"/>
      <protection locked="0"/>
    </xf>
    <xf numFmtId="0" fontId="49" fillId="14" borderId="23" xfId="6" applyFont="1" applyFill="1" applyAlignment="1">
      <alignment horizontal="right" vertical="center"/>
    </xf>
    <xf numFmtId="0" fontId="49" fillId="14" borderId="23" xfId="6" applyFont="1" applyFill="1" applyAlignment="1">
      <alignment horizontal="left" vertical="center"/>
    </xf>
    <xf numFmtId="0" fontId="49" fillId="0" borderId="231" xfId="6" applyFont="1" applyBorder="1" applyAlignment="1">
      <alignment horizontal="center" vertical="center"/>
    </xf>
    <xf numFmtId="165" fontId="49" fillId="0" borderId="231" xfId="6" applyNumberFormat="1" applyFont="1" applyBorder="1" applyAlignment="1">
      <alignment horizontal="center" vertical="center"/>
    </xf>
    <xf numFmtId="180" fontId="49" fillId="0" borderId="231" xfId="6" applyNumberFormat="1" applyFont="1" applyBorder="1" applyAlignment="1" applyProtection="1">
      <alignment vertical="center"/>
      <protection locked="0"/>
    </xf>
    <xf numFmtId="0" fontId="49" fillId="0" borderId="52" xfId="6" applyFont="1" applyBorder="1" applyAlignment="1">
      <alignment vertical="center"/>
    </xf>
    <xf numFmtId="0" fontId="328" fillId="71" borderId="23" xfId="6" applyFont="1" applyFill="1"/>
    <xf numFmtId="0" fontId="50" fillId="0" borderId="49" xfId="6" applyFont="1" applyBorder="1" applyAlignment="1">
      <alignment horizontal="center" vertical="center"/>
    </xf>
    <xf numFmtId="0" fontId="49" fillId="0" borderId="49" xfId="6" applyFont="1" applyBorder="1" applyAlignment="1">
      <alignment horizontal="center" vertical="center"/>
    </xf>
    <xf numFmtId="0" fontId="49" fillId="0" borderId="49" xfId="6" applyFont="1" applyBorder="1" applyAlignment="1" applyProtection="1">
      <alignment vertical="center"/>
      <protection locked="0"/>
    </xf>
    <xf numFmtId="0" fontId="59" fillId="0" borderId="49" xfId="6" applyFont="1" applyBorder="1" applyAlignment="1">
      <alignment horizontal="left" vertical="center"/>
    </xf>
    <xf numFmtId="3" fontId="49" fillId="0" borderId="49" xfId="6" applyNumberFormat="1" applyFont="1" applyBorder="1" applyAlignment="1">
      <alignment horizontal="center" vertical="center"/>
    </xf>
    <xf numFmtId="0" fontId="59" fillId="0" borderId="51" xfId="6" applyFont="1" applyBorder="1" applyAlignment="1" applyProtection="1">
      <alignment vertical="center"/>
      <protection locked="0"/>
    </xf>
    <xf numFmtId="0" fontId="49" fillId="0" borderId="231" xfId="6" applyFont="1" applyBorder="1" applyAlignment="1" applyProtection="1">
      <alignment horizontal="center" vertical="center"/>
      <protection locked="0"/>
    </xf>
    <xf numFmtId="0" fontId="59" fillId="0" borderId="49" xfId="6" applyFont="1" applyBorder="1" applyAlignment="1">
      <alignment vertical="center"/>
    </xf>
    <xf numFmtId="1" fontId="49" fillId="0" borderId="49" xfId="6" applyNumberFormat="1" applyFont="1" applyBorder="1" applyAlignment="1" applyProtection="1">
      <alignment horizontal="center" vertical="center"/>
      <protection locked="0"/>
    </xf>
    <xf numFmtId="0" fontId="351" fillId="15" borderId="23" xfId="6" applyFont="1" applyFill="1" applyAlignment="1" applyProtection="1">
      <alignment horizontal="left" vertical="center"/>
      <protection locked="0"/>
    </xf>
    <xf numFmtId="0" fontId="351" fillId="15" borderId="23" xfId="6" applyFont="1" applyFill="1" applyAlignment="1" applyProtection="1">
      <alignment horizontal="center" vertical="center"/>
      <protection locked="0"/>
    </xf>
    <xf numFmtId="1" fontId="50" fillId="16" borderId="49" xfId="6" applyNumberFormat="1" applyFont="1" applyFill="1" applyBorder="1" applyAlignment="1">
      <alignment horizontal="center" vertical="center"/>
    </xf>
    <xf numFmtId="0" fontId="49" fillId="14" borderId="147" xfId="6" applyFont="1" applyFill="1" applyBorder="1" applyAlignment="1" applyProtection="1">
      <alignment horizontal="left" vertical="center"/>
      <protection locked="0"/>
    </xf>
    <xf numFmtId="0" fontId="49" fillId="14" borderId="147" xfId="6" applyFont="1" applyFill="1" applyBorder="1" applyAlignment="1">
      <alignment vertical="center"/>
    </xf>
    <xf numFmtId="0" fontId="49" fillId="14" borderId="147" xfId="6" applyFont="1" applyFill="1" applyBorder="1" applyAlignment="1" applyProtection="1">
      <alignment vertical="center"/>
      <protection locked="0"/>
    </xf>
    <xf numFmtId="0" fontId="50" fillId="16" borderId="49" xfId="6" applyFont="1" applyFill="1" applyBorder="1" applyAlignment="1" applyProtection="1">
      <alignment horizontal="center" vertical="center"/>
      <protection locked="0"/>
    </xf>
    <xf numFmtId="0" fontId="48" fillId="16" borderId="49" xfId="6" applyFont="1" applyFill="1" applyBorder="1" applyAlignment="1">
      <alignment horizontal="left" vertical="center"/>
    </xf>
    <xf numFmtId="0" fontId="49" fillId="14" borderId="55" xfId="6" applyFont="1" applyFill="1" applyBorder="1" applyAlignment="1">
      <alignment vertical="center"/>
    </xf>
    <xf numFmtId="0" fontId="59" fillId="14" borderId="51" xfId="6" applyFont="1" applyFill="1" applyBorder="1" applyAlignment="1">
      <alignment vertical="center"/>
    </xf>
    <xf numFmtId="0" fontId="49" fillId="14" borderId="231" xfId="6" applyFont="1" applyFill="1" applyBorder="1" applyAlignment="1" applyProtection="1">
      <alignment vertical="center"/>
      <protection locked="0"/>
    </xf>
    <xf numFmtId="166" fontId="49" fillId="0" borderId="49" xfId="6" applyNumberFormat="1" applyFont="1" applyBorder="1" applyAlignment="1">
      <alignment horizontal="center" vertical="center"/>
    </xf>
    <xf numFmtId="9" fontId="49" fillId="0" borderId="49" xfId="6" applyNumberFormat="1" applyFont="1" applyBorder="1" applyAlignment="1">
      <alignment horizontal="center" vertical="center"/>
    </xf>
    <xf numFmtId="0" fontId="49" fillId="14" borderId="255" xfId="6" applyFont="1" applyFill="1" applyBorder="1" applyAlignment="1" applyProtection="1">
      <alignment horizontal="left" vertical="center"/>
      <protection locked="0"/>
    </xf>
    <xf numFmtId="9" fontId="49" fillId="14" borderId="23" xfId="6" applyNumberFormat="1" applyFont="1" applyFill="1" applyAlignment="1" applyProtection="1">
      <alignment vertical="center"/>
      <protection locked="0"/>
    </xf>
    <xf numFmtId="0" fontId="49" fillId="16" borderId="49" xfId="6" applyFont="1" applyFill="1" applyBorder="1" applyAlignment="1">
      <alignment horizontal="right" vertical="center"/>
    </xf>
    <xf numFmtId="0" fontId="49" fillId="0" borderId="49" xfId="6" applyFont="1" applyBorder="1" applyAlignment="1" applyProtection="1">
      <alignment horizontal="center" vertical="center"/>
      <protection locked="0"/>
    </xf>
    <xf numFmtId="0" fontId="50" fillId="14" borderId="23" xfId="6" applyFont="1" applyFill="1" applyAlignment="1">
      <alignment vertical="center"/>
    </xf>
    <xf numFmtId="0" fontId="49" fillId="14" borderId="52" xfId="6" applyFont="1" applyFill="1" applyBorder="1" applyAlignment="1" applyProtection="1">
      <alignment vertical="center"/>
      <protection locked="0"/>
    </xf>
    <xf numFmtId="0" fontId="133" fillId="14" borderId="51" xfId="6" applyFont="1" applyFill="1" applyBorder="1" applyAlignment="1">
      <alignment vertical="center"/>
    </xf>
    <xf numFmtId="166" fontId="49" fillId="0" borderId="49" xfId="9" applyNumberFormat="1" applyFont="1" applyBorder="1" applyAlignment="1" applyProtection="1">
      <alignment horizontal="center" vertical="center"/>
    </xf>
    <xf numFmtId="0" fontId="50" fillId="14" borderId="231" xfId="6" applyFont="1" applyFill="1" applyBorder="1" applyAlignment="1" applyProtection="1">
      <alignment vertical="center"/>
      <protection locked="0"/>
    </xf>
    <xf numFmtId="0" fontId="50" fillId="14" borderId="52" xfId="6" applyFont="1" applyFill="1" applyBorder="1" applyAlignment="1" applyProtection="1">
      <alignment vertical="center"/>
      <protection locked="0"/>
    </xf>
    <xf numFmtId="165" fontId="50" fillId="0" borderId="49" xfId="6" applyNumberFormat="1" applyFont="1" applyBorder="1" applyAlignment="1">
      <alignment horizontal="center" vertical="center"/>
    </xf>
    <xf numFmtId="0" fontId="59" fillId="14" borderId="231" xfId="6" applyFont="1" applyFill="1" applyBorder="1" applyAlignment="1" applyProtection="1">
      <alignment vertical="center"/>
      <protection locked="0"/>
    </xf>
    <xf numFmtId="0" fontId="59" fillId="14"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49" fillId="14" borderId="23" xfId="6" applyFont="1" applyFill="1" applyAlignment="1" applyProtection="1">
      <alignment horizontal="left" vertical="center"/>
      <protection locked="0"/>
    </xf>
    <xf numFmtId="165" fontId="49" fillId="0" borderId="49" xfId="6" applyNumberFormat="1" applyFont="1" applyBorder="1" applyAlignment="1">
      <alignment horizontal="center" vertical="center"/>
    </xf>
    <xf numFmtId="0" fontId="49" fillId="16" borderId="23" xfId="6" applyFont="1" applyFill="1" applyAlignment="1" applyProtection="1">
      <alignment vertical="center"/>
      <protection locked="0"/>
    </xf>
    <xf numFmtId="165" fontId="49" fillId="14" borderId="23" xfId="6" applyNumberFormat="1" applyFont="1" applyFill="1" applyAlignment="1" applyProtection="1">
      <alignment vertical="center"/>
      <protection locked="0"/>
    </xf>
    <xf numFmtId="0" fontId="133" fillId="14" borderId="231" xfId="6" applyFont="1" applyFill="1" applyBorder="1" applyAlignment="1" applyProtection="1">
      <alignment vertical="center"/>
      <protection locked="0"/>
    </xf>
    <xf numFmtId="0" fontId="133" fillId="14" borderId="52" xfId="6" applyFont="1" applyFill="1" applyBorder="1" applyAlignment="1" applyProtection="1">
      <alignment vertical="center"/>
      <protection locked="0"/>
    </xf>
    <xf numFmtId="0" fontId="49" fillId="14" borderId="51" xfId="6" applyFont="1" applyFill="1" applyBorder="1" applyAlignment="1">
      <alignment vertical="center"/>
    </xf>
    <xf numFmtId="0" fontId="49" fillId="14" borderId="255" xfId="6" applyFont="1" applyFill="1" applyBorder="1" applyAlignment="1">
      <alignment vertical="center"/>
    </xf>
    <xf numFmtId="0" fontId="49" fillId="14" borderId="231" xfId="6" applyFont="1" applyFill="1" applyBorder="1" applyAlignment="1">
      <alignment horizontal="center" vertical="center"/>
    </xf>
    <xf numFmtId="0" fontId="43" fillId="0" borderId="51" xfId="6" applyFont="1" applyBorder="1" applyAlignment="1">
      <alignment vertical="center"/>
    </xf>
    <xf numFmtId="0" fontId="352" fillId="0" borderId="23" xfId="6" applyFont="1" applyAlignment="1">
      <alignment horizontal="center" vertical="center"/>
    </xf>
    <xf numFmtId="0" fontId="43" fillId="0" borderId="23" xfId="6" applyFont="1" applyAlignment="1" applyProtection="1">
      <alignment vertical="center"/>
      <protection locked="0"/>
    </xf>
    <xf numFmtId="165" fontId="353" fillId="0" borderId="49" xfId="6" applyNumberFormat="1" applyFont="1" applyBorder="1" applyAlignment="1">
      <alignment horizontal="center" vertical="center"/>
    </xf>
    <xf numFmtId="0" fontId="43" fillId="14" borderId="23" xfId="6" applyFont="1" applyFill="1" applyAlignment="1">
      <alignment vertical="center"/>
    </xf>
    <xf numFmtId="0" fontId="49" fillId="14" borderId="23" xfId="6" applyFont="1" applyFill="1" applyAlignment="1" applyProtection="1">
      <alignment horizontal="center" vertical="center"/>
      <protection locked="0"/>
    </xf>
    <xf numFmtId="3" fontId="49" fillId="14" borderId="23" xfId="6" applyNumberFormat="1" applyFont="1" applyFill="1" applyAlignment="1">
      <alignment vertical="center"/>
    </xf>
    <xf numFmtId="0" fontId="50" fillId="16" borderId="55" xfId="6" applyFont="1" applyFill="1" applyBorder="1" applyAlignment="1">
      <alignment vertical="center"/>
    </xf>
    <xf numFmtId="0" fontId="50" fillId="16" borderId="55" xfId="6" applyFont="1" applyFill="1" applyBorder="1" applyAlignment="1">
      <alignment horizontal="center" vertical="center"/>
    </xf>
    <xf numFmtId="3" fontId="49" fillId="14" borderId="23" xfId="6" applyNumberFormat="1" applyFont="1" applyFill="1" applyAlignment="1" applyProtection="1">
      <alignment vertical="center"/>
      <protection locked="0"/>
    </xf>
    <xf numFmtId="0" fontId="133" fillId="0" borderId="49" xfId="6" applyFont="1" applyBorder="1" applyAlignment="1">
      <alignment vertical="center"/>
    </xf>
    <xf numFmtId="3" fontId="49" fillId="0" borderId="49" xfId="6" applyNumberFormat="1" applyFont="1" applyBorder="1" applyAlignment="1" applyProtection="1">
      <alignment horizontal="center" vertical="center"/>
      <protection locked="0"/>
    </xf>
    <xf numFmtId="0" fontId="50" fillId="14" borderId="23" xfId="6" applyFont="1" applyFill="1" applyAlignment="1">
      <alignment horizontal="right" vertical="center"/>
    </xf>
    <xf numFmtId="9" fontId="49" fillId="0" borderId="49" xfId="9" applyFont="1" applyFill="1" applyBorder="1" applyAlignment="1" applyProtection="1">
      <alignment horizontal="center" vertical="center"/>
    </xf>
    <xf numFmtId="0" fontId="50" fillId="16" borderId="52" xfId="6" applyFont="1" applyFill="1" applyBorder="1" applyAlignment="1" applyProtection="1">
      <alignment vertical="center"/>
      <protection locked="0"/>
    </xf>
    <xf numFmtId="165" fontId="50" fillId="16" borderId="49" xfId="6" applyNumberFormat="1" applyFont="1" applyFill="1" applyBorder="1" applyAlignment="1">
      <alignment horizontal="center" vertical="center"/>
    </xf>
    <xf numFmtId="0" fontId="50" fillId="14" borderId="255" xfId="6" applyFont="1" applyFill="1" applyBorder="1" applyAlignment="1">
      <alignment vertical="center"/>
    </xf>
    <xf numFmtId="0" fontId="50" fillId="16" borderId="49" xfId="6" applyFont="1" applyFill="1" applyBorder="1" applyAlignment="1">
      <alignment horizontal="right" vertical="center"/>
    </xf>
    <xf numFmtId="0" fontId="50" fillId="16" borderId="49" xfId="6" applyFont="1" applyFill="1" applyBorder="1" applyAlignment="1" applyProtection="1">
      <alignment vertical="center"/>
      <protection locked="0"/>
    </xf>
    <xf numFmtId="0" fontId="49" fillId="0" borderId="49" xfId="6" applyFont="1" applyBorder="1" applyAlignment="1">
      <alignment horizontal="right" vertical="center"/>
    </xf>
    <xf numFmtId="1" fontId="50" fillId="14" borderId="23" xfId="6" applyNumberFormat="1" applyFont="1" applyFill="1" applyAlignment="1" applyProtection="1">
      <alignment vertical="center"/>
      <protection locked="0"/>
    </xf>
    <xf numFmtId="0" fontId="50" fillId="72" borderId="49" xfId="6" applyFont="1" applyFill="1" applyBorder="1" applyAlignment="1">
      <alignment vertical="center"/>
    </xf>
    <xf numFmtId="0" fontId="49" fillId="72" borderId="49" xfId="6" applyFont="1" applyFill="1" applyBorder="1" applyAlignment="1" applyProtection="1">
      <alignment vertical="center"/>
      <protection locked="0"/>
    </xf>
    <xf numFmtId="0" fontId="49" fillId="72" borderId="51" xfId="6" applyFont="1" applyFill="1" applyBorder="1" applyAlignment="1">
      <alignment vertical="center"/>
    </xf>
    <xf numFmtId="0" fontId="49" fillId="72" borderId="231" xfId="6" applyFont="1" applyFill="1" applyBorder="1" applyAlignment="1" applyProtection="1">
      <alignment vertical="center"/>
      <protection locked="0"/>
    </xf>
    <xf numFmtId="0" fontId="49" fillId="72" borderId="52" xfId="6" applyFont="1" applyFill="1" applyBorder="1" applyAlignment="1" applyProtection="1">
      <alignment vertical="center"/>
      <protection locked="0"/>
    </xf>
    <xf numFmtId="9" fontId="49" fillId="72" borderId="231" xfId="6" applyNumberFormat="1" applyFont="1" applyFill="1" applyBorder="1" applyAlignment="1" applyProtection="1">
      <alignment vertical="center"/>
      <protection locked="0"/>
    </xf>
    <xf numFmtId="165" fontId="49" fillId="72" borderId="52" xfId="6" applyNumberFormat="1" applyFont="1" applyFill="1" applyBorder="1" applyAlignment="1" applyProtection="1">
      <alignment vertical="center"/>
      <protection locked="0"/>
    </xf>
    <xf numFmtId="166" fontId="49" fillId="72" borderId="49" xfId="6" applyNumberFormat="1" applyFont="1" applyFill="1" applyBorder="1" applyAlignment="1">
      <alignment horizontal="center" vertical="center"/>
    </xf>
    <xf numFmtId="0" fontId="50" fillId="72" borderId="234" xfId="6" applyFont="1" applyFill="1" applyBorder="1" applyAlignment="1">
      <alignment vertical="center"/>
    </xf>
    <xf numFmtId="9" fontId="50" fillId="72" borderId="147" xfId="6" applyNumberFormat="1" applyFont="1" applyFill="1" applyBorder="1" applyAlignment="1" applyProtection="1">
      <alignment vertical="center"/>
      <protection locked="0"/>
    </xf>
    <xf numFmtId="0" fontId="50" fillId="72" borderId="233" xfId="6" applyFont="1" applyFill="1" applyBorder="1" applyAlignment="1" applyProtection="1">
      <alignment vertical="center"/>
      <protection locked="0"/>
    </xf>
    <xf numFmtId="165" fontId="50" fillId="72" borderId="49" xfId="6" applyNumberFormat="1" applyFont="1" applyFill="1" applyBorder="1" applyAlignment="1">
      <alignment horizontal="center" vertical="center"/>
    </xf>
    <xf numFmtId="1" fontId="49" fillId="72" borderId="49" xfId="6" applyNumberFormat="1" applyFont="1" applyFill="1" applyBorder="1" applyAlignment="1">
      <alignment horizontal="center" vertical="center"/>
    </xf>
    <xf numFmtId="165" fontId="49" fillId="72" borderId="49" xfId="6" applyNumberFormat="1" applyFont="1" applyFill="1" applyBorder="1" applyAlignment="1">
      <alignment horizontal="center" vertical="center"/>
    </xf>
    <xf numFmtId="165" fontId="49" fillId="72" borderId="231" xfId="6" applyNumberFormat="1" applyFont="1" applyFill="1" applyBorder="1" applyAlignment="1" applyProtection="1">
      <alignment vertical="center"/>
      <protection locked="0"/>
    </xf>
    <xf numFmtId="0" fontId="50" fillId="72" borderId="51" xfId="6" applyFont="1" applyFill="1" applyBorder="1" applyAlignment="1">
      <alignment vertical="center"/>
    </xf>
    <xf numFmtId="0" fontId="51" fillId="16" borderId="49" xfId="6" applyFont="1" applyFill="1" applyBorder="1" applyAlignment="1">
      <alignment horizontal="right" vertical="center"/>
    </xf>
    <xf numFmtId="3" fontId="51" fillId="16" borderId="49" xfId="6" applyNumberFormat="1" applyFont="1" applyFill="1" applyBorder="1" applyAlignment="1">
      <alignment vertical="center"/>
    </xf>
    <xf numFmtId="0" fontId="50" fillId="16" borderId="51" xfId="6" applyFont="1" applyFill="1" applyBorder="1" applyAlignment="1">
      <alignment horizontal="left" vertical="center"/>
    </xf>
    <xf numFmtId="9" fontId="49" fillId="16" borderId="49" xfId="6" applyNumberFormat="1" applyFont="1" applyFill="1" applyBorder="1" applyAlignment="1">
      <alignment horizontal="center" vertical="center"/>
    </xf>
    <xf numFmtId="0" fontId="49" fillId="0" borderId="23" xfId="6" applyFont="1" applyAlignment="1">
      <alignment horizontal="right" vertical="center"/>
    </xf>
    <xf numFmtId="165" fontId="354" fillId="14" borderId="23" xfId="6" applyNumberFormat="1" applyFont="1" applyFill="1" applyAlignment="1">
      <alignment horizontal="center" vertical="center"/>
    </xf>
    <xf numFmtId="0" fontId="50" fillId="73" borderId="51" xfId="6" applyFont="1" applyFill="1" applyBorder="1" applyAlignment="1">
      <alignment vertical="center"/>
    </xf>
    <xf numFmtId="165" fontId="49" fillId="73" borderId="231" xfId="6" applyNumberFormat="1" applyFont="1" applyFill="1" applyBorder="1" applyAlignment="1" applyProtection="1">
      <alignment vertical="center"/>
      <protection locked="0"/>
    </xf>
    <xf numFmtId="0" fontId="49" fillId="73" borderId="52" xfId="6" applyFont="1" applyFill="1" applyBorder="1" applyAlignment="1" applyProtection="1">
      <alignment vertical="center"/>
      <protection locked="0"/>
    </xf>
    <xf numFmtId="0" fontId="50" fillId="0" borderId="49" xfId="6" applyFont="1" applyBorder="1" applyAlignment="1">
      <alignment horizontal="left" vertical="center"/>
    </xf>
    <xf numFmtId="0" fontId="51" fillId="73" borderId="51" xfId="6" applyFont="1" applyFill="1" applyBorder="1" applyAlignment="1">
      <alignment vertical="center"/>
    </xf>
    <xf numFmtId="0" fontId="51" fillId="73" borderId="231" xfId="6" applyFont="1" applyFill="1" applyBorder="1" applyAlignment="1">
      <alignment vertical="center"/>
    </xf>
    <xf numFmtId="0" fontId="49" fillId="73" borderId="52" xfId="6" applyFont="1" applyFill="1" applyBorder="1" applyAlignment="1">
      <alignment vertical="center"/>
    </xf>
    <xf numFmtId="0" fontId="49" fillId="73" borderId="51" xfId="6" applyFont="1" applyFill="1" applyBorder="1" applyAlignment="1">
      <alignment vertical="center"/>
    </xf>
    <xf numFmtId="0" fontId="49" fillId="73" borderId="231" xfId="6" applyFont="1" applyFill="1" applyBorder="1" applyAlignment="1">
      <alignment vertical="center"/>
    </xf>
    <xf numFmtId="9" fontId="49" fillId="73" borderId="49" xfId="6" applyNumberFormat="1" applyFont="1" applyFill="1" applyBorder="1" applyAlignment="1">
      <alignment horizontal="center" vertical="center"/>
    </xf>
    <xf numFmtId="165" fontId="49" fillId="73" borderId="49" xfId="6" applyNumberFormat="1" applyFont="1" applyFill="1" applyBorder="1" applyAlignment="1" applyProtection="1">
      <alignment horizontal="center" vertical="center"/>
      <protection locked="0"/>
    </xf>
    <xf numFmtId="165" fontId="49" fillId="73" borderId="49" xfId="6" applyNumberFormat="1" applyFont="1" applyFill="1" applyBorder="1" applyAlignment="1">
      <alignment horizontal="center" vertical="center"/>
    </xf>
    <xf numFmtId="165" fontId="49" fillId="73" borderId="231" xfId="6" applyNumberFormat="1" applyFont="1" applyFill="1" applyBorder="1" applyAlignment="1">
      <alignment vertical="center"/>
    </xf>
    <xf numFmtId="167" fontId="49" fillId="0" borderId="49" xfId="6" applyNumberFormat="1" applyFont="1" applyBorder="1" applyAlignment="1">
      <alignment horizontal="center" vertical="center"/>
    </xf>
    <xf numFmtId="0" fontId="49" fillId="14" borderId="146" xfId="6" applyFont="1" applyFill="1" applyBorder="1" applyAlignment="1">
      <alignment vertical="center"/>
    </xf>
    <xf numFmtId="164" fontId="49" fillId="73" borderId="49" xfId="6" applyNumberFormat="1" applyFont="1" applyFill="1" applyBorder="1" applyAlignment="1">
      <alignment horizontal="center" vertical="center"/>
    </xf>
    <xf numFmtId="0" fontId="59" fillId="14" borderId="51" xfId="6" applyFont="1" applyFill="1" applyBorder="1" applyAlignment="1">
      <alignment horizontal="left" vertical="center"/>
    </xf>
    <xf numFmtId="3" fontId="49" fillId="0" borderId="49" xfId="6" applyNumberFormat="1" applyFont="1" applyBorder="1" applyAlignment="1">
      <alignment vertical="center"/>
    </xf>
    <xf numFmtId="0" fontId="49" fillId="73" borderId="49" xfId="6" applyFont="1" applyFill="1" applyBorder="1" applyAlignment="1">
      <alignment horizontal="center" vertical="center"/>
    </xf>
    <xf numFmtId="0" fontId="51" fillId="73" borderId="49" xfId="6" applyFont="1" applyFill="1" applyBorder="1" applyAlignment="1">
      <alignment horizontal="center" vertical="center"/>
    </xf>
    <xf numFmtId="165" fontId="51" fillId="73" borderId="49" xfId="6" applyNumberFormat="1" applyFont="1" applyFill="1" applyBorder="1" applyAlignment="1">
      <alignment horizontal="center" vertical="center"/>
    </xf>
    <xf numFmtId="0" fontId="51" fillId="14" borderId="255" xfId="6" applyFont="1" applyFill="1" applyBorder="1" applyAlignment="1">
      <alignment vertical="center"/>
    </xf>
    <xf numFmtId="166" fontId="51" fillId="73" borderId="49" xfId="9" applyNumberFormat="1" applyFont="1" applyFill="1" applyBorder="1" applyAlignment="1" applyProtection="1">
      <alignment horizontal="center" vertical="center"/>
    </xf>
    <xf numFmtId="0" fontId="49" fillId="73" borderId="231" xfId="6" applyFont="1" applyFill="1" applyBorder="1" applyAlignment="1" applyProtection="1">
      <alignment vertical="center"/>
      <protection locked="0"/>
    </xf>
    <xf numFmtId="9" fontId="51" fillId="73" borderId="49" xfId="6" applyNumberFormat="1" applyFont="1" applyFill="1" applyBorder="1" applyAlignment="1">
      <alignment horizontal="center" vertical="center"/>
    </xf>
    <xf numFmtId="0" fontId="50" fillId="74" borderId="51" xfId="6" applyFont="1" applyFill="1" applyBorder="1" applyAlignment="1">
      <alignment vertical="center"/>
    </xf>
    <xf numFmtId="0" fontId="49" fillId="74" borderId="231" xfId="6" applyFont="1" applyFill="1" applyBorder="1" applyAlignment="1" applyProtection="1">
      <alignment vertical="center"/>
      <protection locked="0"/>
    </xf>
    <xf numFmtId="0" fontId="49" fillId="74" borderId="52" xfId="6" applyFont="1" applyFill="1" applyBorder="1" applyAlignment="1" applyProtection="1">
      <alignment vertical="center"/>
      <protection locked="0"/>
    </xf>
    <xf numFmtId="0" fontId="50" fillId="74" borderId="51" xfId="6" applyFont="1" applyFill="1" applyBorder="1" applyAlignment="1" applyProtection="1">
      <alignment vertical="center"/>
      <protection locked="0"/>
    </xf>
    <xf numFmtId="0" fontId="50" fillId="57" borderId="51" xfId="6" applyFont="1" applyFill="1" applyBorder="1" applyAlignment="1">
      <alignment vertical="center"/>
    </xf>
    <xf numFmtId="0" fontId="49" fillId="57" borderId="231" xfId="6" applyFont="1" applyFill="1" applyBorder="1" applyAlignment="1" applyProtection="1">
      <alignment vertical="center"/>
      <protection locked="0"/>
    </xf>
    <xf numFmtId="0" fontId="49" fillId="57" borderId="52" xfId="6" applyFont="1" applyFill="1" applyBorder="1" applyAlignment="1" applyProtection="1">
      <alignment vertical="center"/>
      <protection locked="0"/>
    </xf>
    <xf numFmtId="0" fontId="49" fillId="57" borderId="51" xfId="6" applyFont="1" applyFill="1" applyBorder="1" applyAlignment="1">
      <alignment vertical="center"/>
    </xf>
    <xf numFmtId="165" fontId="49" fillId="57" borderId="49" xfId="6" applyNumberFormat="1" applyFont="1" applyFill="1" applyBorder="1" applyAlignment="1">
      <alignment horizontal="center" vertical="center"/>
    </xf>
    <xf numFmtId="0" fontId="49" fillId="57" borderId="51" xfId="6" applyFont="1" applyFill="1" applyBorder="1" applyAlignment="1" applyProtection="1">
      <alignment vertical="center"/>
      <protection locked="0"/>
    </xf>
    <xf numFmtId="0" fontId="49" fillId="57" borderId="231" xfId="6" applyFont="1" applyFill="1" applyBorder="1" applyAlignment="1">
      <alignment vertical="center"/>
    </xf>
    <xf numFmtId="165" fontId="49" fillId="57" borderId="49" xfId="10" applyNumberFormat="1" applyFont="1" applyFill="1" applyBorder="1" applyAlignment="1">
      <alignment horizontal="center" vertical="center"/>
    </xf>
    <xf numFmtId="0" fontId="34" fillId="14" borderId="23" xfId="6" applyFill="1" applyAlignment="1">
      <alignment horizontal="right"/>
    </xf>
    <xf numFmtId="165" fontId="49" fillId="57" borderId="51" xfId="6" applyNumberFormat="1" applyFont="1" applyFill="1" applyBorder="1" applyAlignment="1">
      <alignment horizontal="center" vertical="center"/>
    </xf>
    <xf numFmtId="3" fontId="34" fillId="14" borderId="23" xfId="6" applyNumberFormat="1" applyFill="1"/>
    <xf numFmtId="1" fontId="50" fillId="57" borderId="49" xfId="6" applyNumberFormat="1" applyFont="1" applyFill="1" applyBorder="1" applyAlignment="1">
      <alignment horizontal="center" vertical="center"/>
    </xf>
    <xf numFmtId="0" fontId="49" fillId="75" borderId="51" xfId="6" applyFont="1" applyFill="1" applyBorder="1" applyAlignment="1">
      <alignment vertical="center"/>
    </xf>
    <xf numFmtId="0" fontId="49" fillId="75" borderId="231" xfId="6" applyFont="1" applyFill="1" applyBorder="1" applyAlignment="1">
      <alignment vertical="center"/>
    </xf>
    <xf numFmtId="0" fontId="49" fillId="75" borderId="52" xfId="6" applyFont="1" applyFill="1" applyBorder="1" applyAlignment="1">
      <alignment vertical="center"/>
    </xf>
    <xf numFmtId="1" fontId="49" fillId="57" borderId="49" xfId="6" applyNumberFormat="1" applyFont="1" applyFill="1" applyBorder="1" applyAlignment="1">
      <alignment horizontal="center" vertical="center"/>
    </xf>
    <xf numFmtId="0" fontId="50" fillId="76" borderId="51" xfId="6" applyFont="1" applyFill="1" applyBorder="1" applyAlignment="1">
      <alignment vertical="center"/>
    </xf>
    <xf numFmtId="0" fontId="49" fillId="76" borderId="231" xfId="6" applyFont="1" applyFill="1" applyBorder="1" applyAlignment="1" applyProtection="1">
      <alignment vertical="center"/>
      <protection locked="0"/>
    </xf>
    <xf numFmtId="0" fontId="49" fillId="76" borderId="52" xfId="6" applyFont="1" applyFill="1" applyBorder="1" applyAlignment="1" applyProtection="1">
      <alignment vertical="center"/>
      <protection locked="0"/>
    </xf>
    <xf numFmtId="0" fontId="49" fillId="76" borderId="51" xfId="6" applyFont="1" applyFill="1" applyBorder="1" applyAlignment="1">
      <alignment vertical="center"/>
    </xf>
    <xf numFmtId="165" fontId="49" fillId="76" borderId="49" xfId="6" applyNumberFormat="1" applyFont="1" applyFill="1" applyBorder="1" applyAlignment="1">
      <alignment horizontal="center" vertical="center"/>
    </xf>
    <xf numFmtId="0" fontId="49" fillId="76" borderId="51" xfId="6" applyFont="1" applyFill="1" applyBorder="1" applyAlignment="1" applyProtection="1">
      <alignment vertical="center"/>
      <protection locked="0"/>
    </xf>
    <xf numFmtId="165" fontId="49" fillId="76" borderId="49" xfId="6" applyNumberFormat="1" applyFont="1" applyFill="1" applyBorder="1" applyAlignment="1" applyProtection="1">
      <alignment horizontal="center" vertical="center"/>
      <protection locked="0"/>
    </xf>
    <xf numFmtId="0" fontId="51" fillId="76" borderId="51" xfId="6" applyFont="1" applyFill="1" applyBorder="1" applyAlignment="1">
      <alignment vertical="center"/>
    </xf>
    <xf numFmtId="0" fontId="51" fillId="76" borderId="231" xfId="6" applyFont="1" applyFill="1" applyBorder="1" applyAlignment="1">
      <alignment vertical="center"/>
    </xf>
    <xf numFmtId="0" fontId="49" fillId="76" borderId="52" xfId="6" applyFont="1" applyFill="1" applyBorder="1" applyAlignment="1">
      <alignment vertical="center"/>
    </xf>
    <xf numFmtId="0" fontId="49" fillId="76" borderId="49" xfId="6" applyFont="1" applyFill="1" applyBorder="1" applyAlignment="1">
      <alignment horizontal="center" vertical="center"/>
    </xf>
    <xf numFmtId="0" fontId="49" fillId="76" borderId="231" xfId="6" applyFont="1" applyFill="1" applyBorder="1" applyAlignment="1">
      <alignment vertical="center"/>
    </xf>
    <xf numFmtId="9" fontId="49" fillId="76" borderId="49" xfId="6" applyNumberFormat="1" applyFont="1" applyFill="1" applyBorder="1" applyAlignment="1">
      <alignment horizontal="center" vertical="center"/>
    </xf>
    <xf numFmtId="165" fontId="49" fillId="76" borderId="231" xfId="6" applyNumberFormat="1" applyFont="1" applyFill="1" applyBorder="1" applyAlignment="1" applyProtection="1">
      <alignment vertical="center"/>
      <protection locked="0"/>
    </xf>
    <xf numFmtId="165" fontId="49" fillId="76" borderId="231" xfId="6" applyNumberFormat="1" applyFont="1" applyFill="1" applyBorder="1" applyAlignment="1">
      <alignment vertical="center"/>
    </xf>
    <xf numFmtId="166" fontId="49" fillId="0" borderId="51" xfId="6" applyNumberFormat="1" applyFont="1" applyBorder="1" applyAlignment="1">
      <alignment horizontal="center" vertical="center"/>
    </xf>
    <xf numFmtId="166" fontId="50" fillId="16" borderId="49" xfId="6" applyNumberFormat="1" applyFont="1" applyFill="1" applyBorder="1" applyAlignment="1">
      <alignment horizontal="center" vertical="center"/>
    </xf>
    <xf numFmtId="166" fontId="50" fillId="16" borderId="51" xfId="6" applyNumberFormat="1" applyFont="1" applyFill="1" applyBorder="1" applyAlignment="1">
      <alignment horizontal="center" vertical="center"/>
    </xf>
    <xf numFmtId="164" fontId="49" fillId="76" borderId="49" xfId="6" applyNumberFormat="1" applyFont="1" applyFill="1" applyBorder="1" applyAlignment="1">
      <alignment horizontal="center" vertical="center"/>
    </xf>
    <xf numFmtId="0" fontId="49" fillId="16" borderId="254" xfId="6" applyFont="1" applyFill="1" applyBorder="1" applyAlignment="1" applyProtection="1">
      <alignment vertical="center"/>
      <protection locked="0"/>
    </xf>
    <xf numFmtId="0" fontId="50" fillId="16" borderId="51" xfId="6" applyFont="1" applyFill="1" applyBorder="1" applyAlignment="1">
      <alignment horizontal="right" vertical="center"/>
    </xf>
    <xf numFmtId="166" fontId="49" fillId="0" borderId="49" xfId="9" applyNumberFormat="1" applyFont="1" applyFill="1" applyBorder="1" applyAlignment="1" applyProtection="1">
      <alignment horizontal="center" vertical="center"/>
    </xf>
    <xf numFmtId="0" fontId="49" fillId="14" borderId="51" xfId="6" applyFont="1" applyFill="1" applyBorder="1" applyAlignment="1" applyProtection="1">
      <alignment vertical="center"/>
      <protection locked="0"/>
    </xf>
    <xf numFmtId="0" fontId="59" fillId="14" borderId="231" xfId="6" applyFont="1" applyFill="1" applyBorder="1" applyAlignment="1">
      <alignment horizontal="right" vertical="center"/>
    </xf>
    <xf numFmtId="165" fontId="49" fillId="0" borderId="52" xfId="6" applyNumberFormat="1" applyFont="1" applyBorder="1" applyAlignment="1">
      <alignment horizontal="center" vertical="center"/>
    </xf>
    <xf numFmtId="0" fontId="51" fillId="76" borderId="49" xfId="6" applyFont="1" applyFill="1" applyBorder="1" applyAlignment="1">
      <alignment horizontal="center" vertical="center"/>
    </xf>
    <xf numFmtId="166" fontId="51" fillId="76" borderId="49" xfId="9" applyNumberFormat="1" applyFont="1" applyFill="1" applyBorder="1" applyAlignment="1">
      <alignment horizontal="center" vertical="center"/>
    </xf>
    <xf numFmtId="165" fontId="51" fillId="76" borderId="49" xfId="6" applyNumberFormat="1" applyFont="1" applyFill="1" applyBorder="1" applyAlignment="1">
      <alignment horizontal="center" vertical="center"/>
    </xf>
    <xf numFmtId="9" fontId="49" fillId="14" borderId="49" xfId="9" applyFont="1" applyFill="1" applyBorder="1" applyAlignment="1" applyProtection="1">
      <alignment horizontal="center" vertical="center"/>
      <protection locked="0"/>
    </xf>
    <xf numFmtId="0" fontId="49" fillId="14" borderId="255" xfId="6" applyFont="1" applyFill="1" applyBorder="1" applyAlignment="1">
      <alignment horizontal="left" vertical="center"/>
    </xf>
    <xf numFmtId="0" fontId="50" fillId="76" borderId="231" xfId="6" applyFont="1" applyFill="1" applyBorder="1" applyAlignment="1" applyProtection="1">
      <alignment vertical="center"/>
      <protection locked="0"/>
    </xf>
    <xf numFmtId="0" fontId="50" fillId="76" borderId="52" xfId="6" applyFont="1" applyFill="1" applyBorder="1" applyAlignment="1" applyProtection="1">
      <alignment vertical="center"/>
      <protection locked="0"/>
    </xf>
    <xf numFmtId="165" fontId="50" fillId="76" borderId="49" xfId="6" applyNumberFormat="1" applyFont="1" applyFill="1" applyBorder="1" applyAlignment="1">
      <alignment horizontal="center" vertical="center"/>
    </xf>
    <xf numFmtId="1" fontId="49" fillId="76" borderId="49" xfId="6" applyNumberFormat="1" applyFont="1" applyFill="1" applyBorder="1" applyAlignment="1">
      <alignment horizontal="center" vertical="center"/>
    </xf>
    <xf numFmtId="1" fontId="50" fillId="76" borderId="49" xfId="6" applyNumberFormat="1" applyFont="1" applyFill="1" applyBorder="1" applyAlignment="1">
      <alignment horizontal="center" vertical="center"/>
    </xf>
    <xf numFmtId="0" fontId="50" fillId="63" borderId="51" xfId="6" applyFont="1" applyFill="1" applyBorder="1" applyAlignment="1" applyProtection="1">
      <alignment vertical="center"/>
      <protection locked="0"/>
    </xf>
    <xf numFmtId="0" fontId="49" fillId="63" borderId="231" xfId="6" applyFont="1" applyFill="1" applyBorder="1" applyAlignment="1" applyProtection="1">
      <alignment vertical="center"/>
      <protection locked="0"/>
    </xf>
    <xf numFmtId="0" fontId="49" fillId="63" borderId="52" xfId="6" applyFont="1" applyFill="1" applyBorder="1" applyAlignment="1" applyProtection="1">
      <alignment vertical="center"/>
      <protection locked="0"/>
    </xf>
    <xf numFmtId="0" fontId="49" fillId="63" borderId="51" xfId="6" applyFont="1" applyFill="1" applyBorder="1" applyAlignment="1">
      <alignment vertical="center"/>
    </xf>
    <xf numFmtId="165" fontId="49" fillId="63" borderId="49" xfId="6" applyNumberFormat="1" applyFont="1" applyFill="1" applyBorder="1" applyAlignment="1">
      <alignment horizontal="center" vertical="center"/>
    </xf>
    <xf numFmtId="0" fontId="49" fillId="63" borderId="51" xfId="6" applyFont="1" applyFill="1" applyBorder="1" applyAlignment="1" applyProtection="1">
      <alignment vertical="center"/>
      <protection locked="0"/>
    </xf>
    <xf numFmtId="165" fontId="49" fillId="63" borderId="49" xfId="6" applyNumberFormat="1" applyFont="1" applyFill="1" applyBorder="1" applyAlignment="1" applyProtection="1">
      <alignment horizontal="center" vertical="center"/>
      <protection locked="0"/>
    </xf>
    <xf numFmtId="0" fontId="49" fillId="63" borderId="231" xfId="6" applyFont="1" applyFill="1" applyBorder="1" applyAlignment="1">
      <alignment vertical="center"/>
    </xf>
    <xf numFmtId="0" fontId="49" fillId="63" borderId="52" xfId="6" applyFont="1" applyFill="1" applyBorder="1" applyAlignment="1">
      <alignment vertical="center"/>
    </xf>
    <xf numFmtId="9" fontId="49" fillId="63" borderId="49" xfId="9" applyFont="1" applyFill="1" applyBorder="1" applyAlignment="1">
      <alignment horizontal="center" vertical="center"/>
    </xf>
    <xf numFmtId="166" fontId="49" fillId="63" borderId="49" xfId="9" applyNumberFormat="1" applyFont="1" applyFill="1" applyBorder="1" applyAlignment="1">
      <alignment horizontal="center" vertical="center"/>
    </xf>
    <xf numFmtId="166" fontId="49" fillId="63" borderId="49" xfId="6" applyNumberFormat="1" applyFont="1" applyFill="1" applyBorder="1" applyAlignment="1">
      <alignment horizontal="center" vertical="center"/>
    </xf>
    <xf numFmtId="0" fontId="49" fillId="63" borderId="49" xfId="6" applyFont="1" applyFill="1" applyBorder="1" applyAlignment="1">
      <alignment horizontal="center" vertical="center"/>
    </xf>
    <xf numFmtId="165" fontId="49" fillId="63" borderId="52" xfId="6" applyNumberFormat="1" applyFont="1" applyFill="1" applyBorder="1" applyAlignment="1">
      <alignment vertical="center"/>
    </xf>
    <xf numFmtId="165" fontId="49" fillId="63" borderId="49" xfId="9" applyNumberFormat="1" applyFont="1" applyFill="1" applyBorder="1" applyAlignment="1">
      <alignment horizontal="center" vertical="center"/>
    </xf>
    <xf numFmtId="0" fontId="50" fillId="16" borderId="234" xfId="6" applyFont="1" applyFill="1" applyBorder="1" applyAlignment="1">
      <alignment horizontal="right" vertical="center"/>
    </xf>
    <xf numFmtId="10" fontId="49" fillId="0" borderId="49" xfId="9" applyNumberFormat="1" applyFont="1" applyFill="1" applyBorder="1" applyAlignment="1" applyProtection="1">
      <alignment horizontal="center" vertical="center"/>
    </xf>
    <xf numFmtId="0" fontId="50" fillId="63" borderId="51" xfId="6" applyFont="1" applyFill="1" applyBorder="1" applyAlignment="1">
      <alignment vertical="center"/>
    </xf>
    <xf numFmtId="0" fontId="50" fillId="63" borderId="231" xfId="6" applyFont="1" applyFill="1" applyBorder="1" applyAlignment="1" applyProtection="1">
      <alignment vertical="center"/>
      <protection locked="0"/>
    </xf>
    <xf numFmtId="0" fontId="50" fillId="63" borderId="52" xfId="6" applyFont="1" applyFill="1" applyBorder="1" applyAlignment="1" applyProtection="1">
      <alignment vertical="center"/>
      <protection locked="0"/>
    </xf>
    <xf numFmtId="165" fontId="50" fillId="63" borderId="49" xfId="6" applyNumberFormat="1" applyFont="1" applyFill="1" applyBorder="1" applyAlignment="1">
      <alignment horizontal="center" vertical="center"/>
    </xf>
    <xf numFmtId="0" fontId="49" fillId="16" borderId="51" xfId="6" applyFont="1" applyFill="1" applyBorder="1" applyAlignment="1" applyProtection="1">
      <alignment vertical="center"/>
      <protection locked="0"/>
    </xf>
    <xf numFmtId="0" fontId="50" fillId="16" borderId="231" xfId="6" applyFont="1" applyFill="1" applyBorder="1" applyAlignment="1">
      <alignment horizontal="right" vertical="center"/>
    </xf>
    <xf numFmtId="1" fontId="49" fillId="63" borderId="49" xfId="6" applyNumberFormat="1" applyFont="1" applyFill="1" applyBorder="1" applyAlignment="1">
      <alignment horizontal="center" vertical="center"/>
    </xf>
    <xf numFmtId="1" fontId="50" fillId="63" borderId="49" xfId="6" applyNumberFormat="1" applyFont="1" applyFill="1" applyBorder="1" applyAlignment="1">
      <alignment horizontal="center" vertical="center"/>
    </xf>
    <xf numFmtId="9" fontId="49" fillId="14" borderId="52" xfId="9" applyFont="1" applyFill="1" applyBorder="1" applyAlignment="1" applyProtection="1">
      <alignment vertical="center"/>
      <protection locked="0"/>
    </xf>
    <xf numFmtId="166" fontId="49" fillId="14" borderId="23" xfId="6" applyNumberFormat="1" applyFont="1" applyFill="1" applyAlignment="1">
      <alignment vertical="center"/>
    </xf>
    <xf numFmtId="0" fontId="34" fillId="0" borderId="23" xfId="6" applyAlignment="1">
      <alignment horizontal="right"/>
    </xf>
    <xf numFmtId="10" fontId="299" fillId="0" borderId="23" xfId="11" applyNumberFormat="1" applyFont="1" applyBorder="1" applyAlignment="1">
      <alignment horizontal="center" vertical="center"/>
    </xf>
    <xf numFmtId="3" fontId="47" fillId="62" borderId="49" xfId="6" applyNumberFormat="1" applyFont="1" applyFill="1" applyBorder="1" applyAlignment="1">
      <alignment horizontal="center" vertical="center"/>
    </xf>
    <xf numFmtId="3" fontId="43" fillId="62" borderId="49" xfId="6" applyNumberFormat="1" applyFont="1" applyFill="1" applyBorder="1" applyAlignment="1">
      <alignment horizontal="center" vertical="center"/>
    </xf>
    <xf numFmtId="0" fontId="9" fillId="62" borderId="0" xfId="0" applyFont="1" applyFill="1" applyAlignment="1">
      <alignment horizontal="right" vertical="center"/>
    </xf>
    <xf numFmtId="3" fontId="9" fillId="62" borderId="0" xfId="0" applyNumberFormat="1" applyFont="1" applyFill="1" applyAlignment="1">
      <alignment horizontal="center" vertical="center"/>
    </xf>
    <xf numFmtId="0" fontId="9" fillId="62" borderId="23" xfId="0" applyFont="1" applyFill="1" applyBorder="1" applyAlignment="1">
      <alignment horizontal="right" vertical="center"/>
    </xf>
    <xf numFmtId="3" fontId="9" fillId="62" borderId="23" xfId="1" applyNumberFormat="1" applyFont="1" applyFill="1" applyBorder="1" applyAlignment="1">
      <alignment horizontal="center" vertical="center"/>
    </xf>
    <xf numFmtId="0" fontId="137" fillId="0" borderId="0" xfId="0" applyFont="1" applyAlignment="1">
      <alignment horizontal="left" vertical="top" wrapText="1"/>
    </xf>
    <xf numFmtId="0" fontId="137" fillId="0" borderId="23" xfId="0" applyFont="1" applyBorder="1" applyAlignment="1">
      <alignment horizontal="left" vertical="top" wrapText="1"/>
    </xf>
    <xf numFmtId="0" fontId="137" fillId="0" borderId="0" xfId="0" applyFont="1"/>
    <xf numFmtId="0" fontId="135" fillId="15" borderId="0" xfId="0" applyFont="1" applyFill="1" applyAlignment="1">
      <alignment horizontal="center"/>
    </xf>
    <xf numFmtId="0" fontId="136" fillId="15" borderId="0" xfId="0" applyFont="1" applyFill="1"/>
    <xf numFmtId="0" fontId="135" fillId="15" borderId="0" xfId="0" applyFont="1" applyFill="1" applyAlignment="1">
      <alignment horizontal="center" vertical="top" wrapText="1"/>
    </xf>
    <xf numFmtId="0" fontId="136" fillId="15" borderId="0" xfId="0" applyFont="1" applyFill="1" applyAlignment="1">
      <alignment vertical="top"/>
    </xf>
    <xf numFmtId="0" fontId="125" fillId="15" borderId="0" xfId="0" applyFont="1" applyFill="1" applyAlignment="1">
      <alignment horizontal="center" vertical="center"/>
    </xf>
    <xf numFmtId="0" fontId="56" fillId="15" borderId="0" xfId="0" applyFont="1" applyFill="1"/>
    <xf numFmtId="0" fontId="61" fillId="16" borderId="30" xfId="0" applyFont="1" applyFill="1" applyBorder="1" applyAlignment="1">
      <alignment horizontal="center" vertical="center"/>
    </xf>
    <xf numFmtId="0" fontId="62" fillId="16" borderId="30" xfId="0" applyFont="1" applyFill="1" applyBorder="1" applyAlignment="1">
      <alignment horizontal="center"/>
    </xf>
    <xf numFmtId="0" fontId="61" fillId="16" borderId="34" xfId="0" applyFont="1" applyFill="1" applyBorder="1" applyAlignment="1">
      <alignment horizontal="center" vertical="center"/>
    </xf>
    <xf numFmtId="0" fontId="62" fillId="16" borderId="34" xfId="0" applyFont="1" applyFill="1" applyBorder="1" applyAlignment="1">
      <alignment horizontal="center" vertical="center"/>
    </xf>
    <xf numFmtId="0" fontId="71" fillId="16" borderId="30" xfId="0" applyFont="1" applyFill="1" applyBorder="1" applyAlignment="1">
      <alignment horizontal="center" vertical="center" wrapText="1"/>
    </xf>
    <xf numFmtId="0" fontId="72" fillId="16" borderId="30" xfId="0" applyFont="1" applyFill="1" applyBorder="1"/>
    <xf numFmtId="0" fontId="61" fillId="16" borderId="34" xfId="0" applyFont="1" applyFill="1" applyBorder="1" applyAlignment="1">
      <alignment horizontal="center" vertical="center" wrapText="1"/>
    </xf>
    <xf numFmtId="0" fontId="62" fillId="16" borderId="30" xfId="0" applyFont="1" applyFill="1" applyBorder="1"/>
    <xf numFmtId="0" fontId="61" fillId="16" borderId="30" xfId="0" applyFont="1" applyFill="1" applyBorder="1" applyAlignment="1">
      <alignment horizontal="center" vertical="center" wrapText="1"/>
    </xf>
    <xf numFmtId="0" fontId="54" fillId="15" borderId="0" xfId="0" applyFont="1" applyFill="1" applyAlignment="1">
      <alignment horizontal="center" vertical="center"/>
    </xf>
    <xf numFmtId="0" fontId="55" fillId="15" borderId="0" xfId="0" applyFont="1" applyFill="1" applyAlignment="1">
      <alignment horizontal="center"/>
    </xf>
    <xf numFmtId="0" fontId="56" fillId="15" borderId="0" xfId="0" applyFont="1" applyFill="1" applyAlignment="1">
      <alignment horizontal="center" vertical="center"/>
    </xf>
    <xf numFmtId="165" fontId="49" fillId="19" borderId="30" xfId="0" applyNumberFormat="1" applyFont="1" applyFill="1" applyBorder="1" applyAlignment="1">
      <alignment horizontal="center" vertical="center"/>
    </xf>
    <xf numFmtId="0" fontId="49" fillId="18" borderId="30" xfId="0" applyFont="1" applyFill="1" applyBorder="1" applyAlignment="1">
      <alignment horizontal="center" vertical="center"/>
    </xf>
    <xf numFmtId="0" fontId="49" fillId="0" borderId="30" xfId="0" applyFont="1" applyBorder="1" applyAlignment="1">
      <alignment horizontal="center" vertical="center"/>
    </xf>
    <xf numFmtId="0" fontId="49" fillId="0" borderId="30" xfId="0" applyFont="1" applyBorder="1"/>
    <xf numFmtId="0" fontId="58" fillId="15" borderId="0" xfId="0" applyFont="1" applyFill="1" applyAlignment="1">
      <alignment vertical="center"/>
    </xf>
    <xf numFmtId="0" fontId="0" fillId="0" borderId="0" xfId="0"/>
    <xf numFmtId="166" fontId="61" fillId="16" borderId="30" xfId="0" applyNumberFormat="1" applyFont="1" applyFill="1" applyBorder="1" applyAlignment="1">
      <alignment horizontal="center" vertical="center"/>
    </xf>
    <xf numFmtId="0" fontId="49" fillId="0" borderId="30" xfId="0" applyFont="1" applyBorder="1" applyAlignment="1">
      <alignment horizontal="center" vertical="center" wrapText="1"/>
    </xf>
    <xf numFmtId="0" fontId="49" fillId="24" borderId="31" xfId="0" applyFont="1" applyFill="1" applyBorder="1" applyAlignment="1" applyProtection="1">
      <alignment horizontal="left" vertical="center"/>
      <protection locked="0"/>
    </xf>
    <xf numFmtId="0" fontId="49" fillId="23" borderId="28" xfId="0" applyFont="1" applyFill="1" applyBorder="1" applyProtection="1">
      <protection locked="0"/>
    </xf>
    <xf numFmtId="0" fontId="49" fillId="23" borderId="29" xfId="0" applyFont="1" applyFill="1" applyBorder="1" applyProtection="1">
      <protection locked="0"/>
    </xf>
    <xf numFmtId="0" fontId="50" fillId="22" borderId="37" xfId="0" applyFont="1" applyFill="1" applyBorder="1" applyAlignment="1">
      <alignment horizontal="center" vertical="center" wrapText="1"/>
    </xf>
    <xf numFmtId="0" fontId="50" fillId="23" borderId="35" xfId="0" applyFont="1" applyFill="1" applyBorder="1" applyAlignment="1">
      <alignment vertical="center"/>
    </xf>
    <xf numFmtId="0" fontId="50" fillId="23" borderId="36" xfId="0" applyFont="1" applyFill="1" applyBorder="1" applyAlignment="1">
      <alignment vertical="center"/>
    </xf>
    <xf numFmtId="0" fontId="50" fillId="23" borderId="40" xfId="0" applyFont="1" applyFill="1" applyBorder="1" applyAlignment="1">
      <alignment vertical="center"/>
    </xf>
    <xf numFmtId="0" fontId="50" fillId="23" borderId="27" xfId="0" applyFont="1" applyFill="1" applyBorder="1" applyAlignment="1">
      <alignment vertical="center"/>
    </xf>
    <xf numFmtId="0" fontId="50" fillId="23" borderId="33" xfId="0" applyFont="1" applyFill="1" applyBorder="1" applyAlignment="1">
      <alignment vertical="center"/>
    </xf>
    <xf numFmtId="0" fontId="71" fillId="20" borderId="30" xfId="0" applyFont="1" applyFill="1" applyBorder="1" applyAlignment="1">
      <alignment horizontal="center" vertical="center"/>
    </xf>
    <xf numFmtId="0" fontId="71" fillId="20" borderId="30" xfId="0" applyFont="1" applyFill="1" applyBorder="1" applyAlignment="1">
      <alignment horizontal="center" vertical="center" wrapText="1"/>
    </xf>
    <xf numFmtId="0" fontId="71" fillId="16" borderId="30" xfId="0" applyFont="1" applyFill="1" applyBorder="1" applyAlignment="1">
      <alignment horizontal="center" vertical="center"/>
    </xf>
    <xf numFmtId="0" fontId="50" fillId="22" borderId="35" xfId="0" applyFont="1" applyFill="1" applyBorder="1" applyAlignment="1">
      <alignment horizontal="center" vertical="center" wrapText="1"/>
    </xf>
    <xf numFmtId="0" fontId="50" fillId="22" borderId="36" xfId="0" applyFont="1" applyFill="1" applyBorder="1" applyAlignment="1">
      <alignment horizontal="center" vertical="center" wrapText="1"/>
    </xf>
    <xf numFmtId="0" fontId="50" fillId="22" borderId="40" xfId="0" applyFont="1" applyFill="1" applyBorder="1" applyAlignment="1">
      <alignment horizontal="center" vertical="center" wrapText="1"/>
    </xf>
    <xf numFmtId="0" fontId="50" fillId="22" borderId="27" xfId="0" applyFont="1" applyFill="1" applyBorder="1" applyAlignment="1">
      <alignment horizontal="center" vertical="center" wrapText="1"/>
    </xf>
    <xf numFmtId="0" fontId="50" fillId="22" borderId="33" xfId="0" applyFont="1" applyFill="1" applyBorder="1" applyAlignment="1">
      <alignment horizontal="center" vertical="center" wrapText="1"/>
    </xf>
    <xf numFmtId="0" fontId="62" fillId="16" borderId="30" xfId="0" applyFont="1" applyFill="1" applyBorder="1" applyAlignment="1">
      <alignment vertical="center"/>
    </xf>
    <xf numFmtId="0" fontId="66" fillId="14" borderId="23" xfId="0" applyFont="1" applyFill="1" applyBorder="1" applyAlignment="1">
      <alignment horizontal="center" vertical="center" wrapText="1"/>
    </xf>
    <xf numFmtId="0" fontId="65" fillId="14" borderId="23" xfId="0" applyFont="1" applyFill="1" applyBorder="1"/>
    <xf numFmtId="0" fontId="62" fillId="16" borderId="30" xfId="0" applyFont="1" applyFill="1" applyBorder="1" applyAlignment="1">
      <alignment vertical="center" wrapText="1"/>
    </xf>
    <xf numFmtId="0" fontId="0" fillId="0" borderId="0" xfId="0" applyAlignment="1">
      <alignment horizontal="center"/>
    </xf>
    <xf numFmtId="0" fontId="74" fillId="15" borderId="0" xfId="0" applyFont="1" applyFill="1" applyAlignment="1">
      <alignment horizontal="left" vertical="center"/>
    </xf>
    <xf numFmtId="0" fontId="49" fillId="48" borderId="49" xfId="0" applyFont="1" applyFill="1" applyBorder="1" applyAlignment="1">
      <alignment vertical="center"/>
    </xf>
    <xf numFmtId="0" fontId="0" fillId="48" borderId="49" xfId="0" applyFill="1" applyBorder="1"/>
    <xf numFmtId="0" fontId="61" fillId="16" borderId="51" xfId="0" applyFont="1" applyFill="1" applyBorder="1" applyAlignment="1">
      <alignment vertical="center"/>
    </xf>
    <xf numFmtId="0" fontId="0" fillId="0" borderId="52" xfId="0" applyBorder="1" applyAlignment="1">
      <alignment vertical="center"/>
    </xf>
    <xf numFmtId="0" fontId="77"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6" fillId="0" borderId="0" xfId="0" applyFont="1" applyAlignment="1">
      <alignment horizontal="center" vertical="center" wrapText="1"/>
    </xf>
    <xf numFmtId="0" fontId="65" fillId="0" borderId="0" xfId="0" applyFont="1" applyAlignment="1">
      <alignment vertical="center"/>
    </xf>
    <xf numFmtId="0" fontId="26" fillId="16" borderId="30" xfId="0" applyFont="1" applyFill="1" applyBorder="1" applyAlignment="1">
      <alignment horizontal="center" vertical="center"/>
    </xf>
    <xf numFmtId="0" fontId="36" fillId="16" borderId="30" xfId="0" applyFont="1" applyFill="1" applyBorder="1" applyAlignment="1">
      <alignment vertical="center"/>
    </xf>
    <xf numFmtId="0" fontId="49" fillId="3" borderId="30" xfId="0" applyFont="1" applyFill="1" applyBorder="1" applyAlignment="1" applyProtection="1">
      <alignment horizontal="center" vertical="center"/>
      <protection locked="0"/>
    </xf>
    <xf numFmtId="0" fontId="49" fillId="0" borderId="30" xfId="0" applyFont="1" applyBorder="1" applyAlignment="1" applyProtection="1">
      <alignment vertical="center"/>
      <protection locked="0"/>
    </xf>
    <xf numFmtId="166" fontId="26" fillId="16" borderId="30" xfId="0" applyNumberFormat="1" applyFont="1" applyFill="1" applyBorder="1" applyAlignment="1">
      <alignment horizontal="center" vertical="center"/>
    </xf>
    <xf numFmtId="0" fontId="26" fillId="16" borderId="30" xfId="0" applyFont="1" applyFill="1" applyBorder="1" applyAlignment="1">
      <alignment horizontal="center" vertical="center" wrapText="1"/>
    </xf>
    <xf numFmtId="0" fontId="36" fillId="16" borderId="30" xfId="0" applyFont="1" applyFill="1" applyBorder="1" applyAlignment="1">
      <alignment vertical="center" wrapText="1"/>
    </xf>
    <xf numFmtId="166" fontId="71" fillId="16" borderId="30" xfId="0" applyNumberFormat="1" applyFont="1" applyFill="1" applyBorder="1" applyAlignment="1">
      <alignment horizontal="center" vertical="center"/>
    </xf>
    <xf numFmtId="0" fontId="98" fillId="16" borderId="30" xfId="0" applyFont="1" applyFill="1" applyBorder="1" applyAlignment="1">
      <alignment horizontal="center" vertical="center"/>
    </xf>
    <xf numFmtId="0" fontId="100" fillId="16" borderId="30" xfId="0" applyFont="1" applyFill="1" applyBorder="1" applyAlignment="1">
      <alignment vertical="center"/>
    </xf>
    <xf numFmtId="0" fontId="27" fillId="16" borderId="30"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27" fillId="16" borderId="30" xfId="0" applyFont="1" applyFill="1" applyBorder="1" applyAlignment="1">
      <alignment horizontal="center" vertical="center"/>
    </xf>
    <xf numFmtId="0" fontId="99" fillId="0" borderId="30" xfId="0" applyFont="1" applyBorder="1" applyAlignment="1">
      <alignment horizontal="right" vertical="center"/>
    </xf>
    <xf numFmtId="0" fontId="107" fillId="0" borderId="30" xfId="0" applyFont="1" applyBorder="1" applyAlignment="1">
      <alignment vertical="center"/>
    </xf>
    <xf numFmtId="0" fontId="62" fillId="16" borderId="30" xfId="0" applyFont="1" applyFill="1" applyBorder="1" applyAlignment="1">
      <alignment horizontal="center" vertical="center"/>
    </xf>
    <xf numFmtId="0" fontId="97" fillId="16" borderId="31" xfId="0" applyFont="1" applyFill="1" applyBorder="1" applyAlignment="1">
      <alignment horizontal="center" vertical="center"/>
    </xf>
    <xf numFmtId="0" fontId="97" fillId="16" borderId="28" xfId="0" applyFont="1" applyFill="1" applyBorder="1" applyAlignment="1">
      <alignment horizontal="center" vertical="center"/>
    </xf>
    <xf numFmtId="0" fontId="97" fillId="16" borderId="29" xfId="0" applyFont="1" applyFill="1" applyBorder="1" applyAlignment="1">
      <alignment horizontal="center" vertical="center"/>
    </xf>
    <xf numFmtId="0" fontId="43" fillId="16" borderId="30" xfId="0" applyFont="1" applyFill="1" applyBorder="1" applyAlignment="1">
      <alignment horizontal="center" vertical="center" wrapText="1"/>
    </xf>
    <xf numFmtId="0" fontId="43" fillId="16" borderId="30" xfId="0" applyFont="1" applyFill="1" applyBorder="1" applyAlignment="1">
      <alignment vertical="center"/>
    </xf>
    <xf numFmtId="0" fontId="59" fillId="0" borderId="30" xfId="0" applyFont="1" applyBorder="1" applyAlignment="1">
      <alignment horizontal="right" vertical="center"/>
    </xf>
    <xf numFmtId="0" fontId="43" fillId="16" borderId="37" xfId="0" applyFont="1" applyFill="1" applyBorder="1" applyAlignment="1">
      <alignment horizontal="center" vertical="center"/>
    </xf>
    <xf numFmtId="0" fontId="43" fillId="16" borderId="36" xfId="0" applyFont="1" applyFill="1" applyBorder="1" applyAlignment="1">
      <alignment horizontal="center" vertical="center"/>
    </xf>
    <xf numFmtId="0" fontId="43" fillId="16" borderId="38" xfId="0" applyFont="1" applyFill="1" applyBorder="1" applyAlignment="1">
      <alignment horizontal="center" vertical="center"/>
    </xf>
    <xf numFmtId="0" fontId="43" fillId="16" borderId="41" xfId="0" applyFont="1" applyFill="1" applyBorder="1" applyAlignment="1">
      <alignment horizontal="center" vertical="center"/>
    </xf>
    <xf numFmtId="0" fontId="43" fillId="16" borderId="40" xfId="0" applyFont="1" applyFill="1" applyBorder="1" applyAlignment="1">
      <alignment horizontal="center" vertical="center"/>
    </xf>
    <xf numFmtId="0" fontId="43" fillId="16" borderId="33" xfId="0" applyFont="1" applyFill="1" applyBorder="1" applyAlignment="1">
      <alignment horizontal="center" vertical="center"/>
    </xf>
    <xf numFmtId="0" fontId="59" fillId="0" borderId="30" xfId="0" applyFont="1" applyBorder="1" applyAlignment="1">
      <alignment vertical="center"/>
    </xf>
    <xf numFmtId="0" fontId="43" fillId="48" borderId="49" xfId="0" applyFont="1" applyFill="1" applyBorder="1" applyAlignment="1">
      <alignment horizontal="left" vertical="center"/>
    </xf>
    <xf numFmtId="0" fontId="0" fillId="48" borderId="49" xfId="0" applyFill="1" applyBorder="1" applyAlignment="1">
      <alignment vertical="center"/>
    </xf>
    <xf numFmtId="0" fontId="149" fillId="15" borderId="0" xfId="0" applyFont="1" applyFill="1" applyAlignment="1">
      <alignment horizontal="center" vertical="center"/>
    </xf>
    <xf numFmtId="0" fontId="0" fillId="0" borderId="0" xfId="0" applyAlignment="1">
      <alignment horizontal="center" vertical="center"/>
    </xf>
    <xf numFmtId="0" fontId="59" fillId="0" borderId="30" xfId="0" applyFont="1" applyBorder="1" applyAlignment="1">
      <alignment horizontal="right" vertical="center" wrapText="1"/>
    </xf>
    <xf numFmtId="0" fontId="105" fillId="16" borderId="30" xfId="0" applyFont="1" applyFill="1" applyBorder="1" applyAlignment="1">
      <alignment horizontal="center" vertical="center"/>
    </xf>
    <xf numFmtId="0" fontId="105" fillId="16" borderId="30" xfId="0" applyFont="1" applyFill="1" applyBorder="1" applyAlignment="1">
      <alignment vertical="center"/>
    </xf>
    <xf numFmtId="0" fontId="27" fillId="16" borderId="30" xfId="0" applyFont="1" applyFill="1" applyBorder="1" applyAlignment="1">
      <alignment horizontal="right" vertical="center"/>
    </xf>
    <xf numFmtId="0" fontId="38" fillId="0" borderId="30" xfId="0" applyFont="1" applyBorder="1" applyAlignment="1">
      <alignment horizontal="center" vertical="center"/>
    </xf>
    <xf numFmtId="0" fontId="40" fillId="0" borderId="30" xfId="0" applyFont="1" applyBorder="1" applyAlignment="1">
      <alignment vertical="center"/>
    </xf>
    <xf numFmtId="0" fontId="89" fillId="7" borderId="17" xfId="0" applyFont="1" applyFill="1" applyBorder="1" applyAlignment="1">
      <alignment horizontal="center" vertical="center"/>
    </xf>
    <xf numFmtId="0" fontId="40" fillId="0" borderId="15" xfId="0" applyFont="1" applyBorder="1" applyAlignment="1">
      <alignment vertical="center"/>
    </xf>
    <xf numFmtId="0" fontId="40" fillId="0" borderId="16" xfId="0" applyFont="1" applyBorder="1" applyAlignment="1">
      <alignment vertical="center"/>
    </xf>
    <xf numFmtId="0" fontId="40" fillId="0" borderId="15" xfId="0" applyFont="1" applyBorder="1" applyAlignment="1">
      <alignment horizontal="center" vertical="center"/>
    </xf>
    <xf numFmtId="0" fontId="40" fillId="0" borderId="16" xfId="0" applyFont="1" applyBorder="1" applyAlignment="1">
      <alignment horizontal="center" vertical="center"/>
    </xf>
    <xf numFmtId="164" fontId="38" fillId="3" borderId="1" xfId="0" applyNumberFormat="1" applyFont="1" applyFill="1" applyBorder="1" applyAlignment="1">
      <alignment horizontal="center" vertical="center"/>
    </xf>
    <xf numFmtId="0" fontId="40" fillId="0" borderId="3" xfId="0" applyFont="1" applyBorder="1" applyAlignment="1">
      <alignment vertical="center"/>
    </xf>
    <xf numFmtId="0" fontId="90" fillId="7" borderId="17" xfId="0" applyFont="1" applyFill="1" applyBorder="1" applyAlignment="1">
      <alignment horizontal="center" vertical="center" wrapText="1"/>
    </xf>
    <xf numFmtId="0" fontId="90" fillId="0" borderId="15" xfId="0" applyFont="1" applyBorder="1" applyAlignment="1">
      <alignment vertical="center"/>
    </xf>
    <xf numFmtId="0" fontId="90" fillId="0" borderId="16" xfId="0" applyFont="1" applyBorder="1" applyAlignment="1">
      <alignment vertical="center"/>
    </xf>
    <xf numFmtId="4" fontId="89" fillId="7" borderId="21" xfId="0" applyNumberFormat="1" applyFont="1" applyFill="1" applyBorder="1" applyAlignment="1">
      <alignment horizontal="center" vertical="center" wrapText="1"/>
    </xf>
    <xf numFmtId="0" fontId="40" fillId="0" borderId="22" xfId="0" applyFont="1" applyBorder="1" applyAlignment="1">
      <alignment vertical="center"/>
    </xf>
    <xf numFmtId="0" fontId="40" fillId="0" borderId="23" xfId="0" applyFont="1" applyBorder="1" applyAlignment="1">
      <alignment vertical="center"/>
    </xf>
    <xf numFmtId="0" fontId="40" fillId="0" borderId="22" xfId="0" applyFont="1" applyBorder="1" applyAlignment="1">
      <alignment horizontal="center" vertical="center"/>
    </xf>
    <xf numFmtId="0" fontId="40" fillId="0" borderId="23" xfId="0" applyFont="1" applyBorder="1" applyAlignment="1">
      <alignment horizontal="center" vertical="center"/>
    </xf>
    <xf numFmtId="0" fontId="130" fillId="49" borderId="12" xfId="0" applyFont="1" applyFill="1" applyBorder="1" applyAlignment="1">
      <alignment horizontal="right" vertical="center"/>
    </xf>
    <xf numFmtId="0" fontId="129" fillId="48" borderId="9" xfId="0" applyFont="1" applyFill="1" applyBorder="1" applyAlignment="1">
      <alignment horizontal="right" vertical="center"/>
    </xf>
    <xf numFmtId="0" fontId="89" fillId="7" borderId="17" xfId="0" applyFont="1" applyFill="1" applyBorder="1" applyAlignment="1">
      <alignment vertical="center" wrapText="1"/>
    </xf>
    <xf numFmtId="0" fontId="0" fillId="0" borderId="0" xfId="0" applyAlignment="1">
      <alignment vertical="center"/>
    </xf>
    <xf numFmtId="0" fontId="39" fillId="5" borderId="17" xfId="0" applyFont="1" applyFill="1" applyBorder="1" applyAlignment="1">
      <alignment horizontal="center" vertical="center"/>
    </xf>
    <xf numFmtId="0" fontId="40" fillId="0" borderId="18" xfId="0" applyFont="1" applyBorder="1" applyAlignment="1">
      <alignment vertical="center"/>
    </xf>
    <xf numFmtId="0" fontId="89" fillId="7" borderId="17" xfId="0" applyFont="1" applyFill="1" applyBorder="1" applyAlignment="1">
      <alignment vertical="center"/>
    </xf>
    <xf numFmtId="0" fontId="130" fillId="49" borderId="12" xfId="0" applyFont="1" applyFill="1" applyBorder="1" applyAlignment="1">
      <alignment horizontal="left" vertical="center"/>
    </xf>
    <xf numFmtId="0" fontId="129" fillId="48" borderId="9" xfId="0" applyFont="1" applyFill="1" applyBorder="1" applyAlignment="1">
      <alignment vertical="center"/>
    </xf>
    <xf numFmtId="0" fontId="129" fillId="48" borderId="10" xfId="0" applyFont="1" applyFill="1" applyBorder="1" applyAlignment="1">
      <alignment vertical="center"/>
    </xf>
    <xf numFmtId="0" fontId="39" fillId="5" borderId="14" xfId="0" applyFont="1" applyFill="1" applyBorder="1" applyAlignment="1">
      <alignment horizontal="center" vertical="center"/>
    </xf>
    <xf numFmtId="0" fontId="103" fillId="15" borderId="0" xfId="0" applyFont="1" applyFill="1" applyAlignment="1">
      <alignment horizontal="center" vertical="top"/>
    </xf>
    <xf numFmtId="0" fontId="150" fillId="15" borderId="0" xfId="0" applyFont="1" applyFill="1" applyAlignment="1">
      <alignment horizontal="center" vertical="top"/>
    </xf>
    <xf numFmtId="0" fontId="13" fillId="0" borderId="0" xfId="0" applyFont="1" applyAlignment="1">
      <alignment horizontal="center"/>
    </xf>
    <xf numFmtId="0" fontId="58" fillId="26" borderId="8" xfId="0" applyFont="1" applyFill="1" applyBorder="1" applyAlignment="1">
      <alignment horizontal="left" vertical="center" wrapText="1"/>
    </xf>
    <xf numFmtId="0" fontId="60" fillId="15" borderId="12" xfId="0" applyFont="1" applyFill="1" applyBorder="1" applyAlignment="1">
      <alignment horizontal="left" vertical="center"/>
    </xf>
    <xf numFmtId="0" fontId="0" fillId="0" borderId="12" xfId="0" applyBorder="1" applyAlignment="1">
      <alignment vertical="center"/>
    </xf>
    <xf numFmtId="164" fontId="41" fillId="5" borderId="17" xfId="0" applyNumberFormat="1" applyFont="1" applyFill="1" applyBorder="1" applyAlignment="1">
      <alignment horizontal="center" vertical="center"/>
    </xf>
    <xf numFmtId="0" fontId="63" fillId="0" borderId="16" xfId="0" applyFont="1" applyBorder="1" applyAlignment="1">
      <alignment vertical="center"/>
    </xf>
    <xf numFmtId="0" fontId="40" fillId="0" borderId="2" xfId="0" applyFont="1" applyBorder="1" applyAlignment="1">
      <alignment vertical="center"/>
    </xf>
    <xf numFmtId="0" fontId="89" fillId="7" borderId="17" xfId="0" applyFont="1" applyFill="1" applyBorder="1" applyAlignment="1">
      <alignment horizontal="center" vertical="center" wrapText="1"/>
    </xf>
    <xf numFmtId="164" fontId="40" fillId="3" borderId="1" xfId="0" applyNumberFormat="1" applyFont="1" applyFill="1" applyBorder="1" applyAlignment="1">
      <alignment horizontal="center" vertical="center"/>
    </xf>
    <xf numFmtId="4" fontId="61" fillId="16" borderId="30" xfId="0" applyNumberFormat="1" applyFont="1" applyFill="1" applyBorder="1" applyAlignment="1">
      <alignment horizontal="center" vertical="center" wrapText="1"/>
    </xf>
    <xf numFmtId="4" fontId="47" fillId="0" borderId="30" xfId="0" applyNumberFormat="1" applyFont="1" applyBorder="1" applyAlignment="1">
      <alignment horizontal="center" vertical="center"/>
    </xf>
    <xf numFmtId="0" fontId="43" fillId="0" borderId="30" xfId="0" applyFont="1" applyBorder="1" applyAlignment="1">
      <alignment horizontal="center" vertical="center"/>
    </xf>
    <xf numFmtId="0" fontId="43" fillId="0" borderId="30" xfId="0" applyFont="1" applyBorder="1" applyAlignment="1">
      <alignment vertical="center"/>
    </xf>
    <xf numFmtId="4" fontId="47" fillId="0" borderId="29" xfId="0" applyNumberFormat="1" applyFont="1" applyBorder="1" applyAlignment="1">
      <alignment horizontal="center" vertical="center"/>
    </xf>
    <xf numFmtId="0" fontId="47" fillId="0" borderId="30" xfId="0" applyFont="1" applyBorder="1" applyAlignment="1">
      <alignment horizontal="center" vertical="center"/>
    </xf>
    <xf numFmtId="2" fontId="47" fillId="0" borderId="30" xfId="0" applyNumberFormat="1" applyFont="1" applyBorder="1" applyAlignment="1">
      <alignment horizontal="center" vertical="center"/>
    </xf>
    <xf numFmtId="0" fontId="48" fillId="16" borderId="30" xfId="0" applyFont="1" applyFill="1" applyBorder="1" applyAlignment="1">
      <alignment horizontal="center" vertical="center" wrapText="1"/>
    </xf>
    <xf numFmtId="0" fontId="100" fillId="16" borderId="30" xfId="0" applyFont="1" applyFill="1" applyBorder="1" applyAlignment="1">
      <alignment horizontal="center" vertical="center"/>
    </xf>
    <xf numFmtId="0" fontId="59" fillId="0" borderId="30" xfId="0" applyFont="1" applyBorder="1" applyAlignment="1">
      <alignment horizontal="left" vertical="center" wrapText="1"/>
    </xf>
    <xf numFmtId="0" fontId="59" fillId="0" borderId="30" xfId="0" applyFont="1" applyBorder="1" applyAlignment="1">
      <alignment horizontal="left" vertical="center"/>
    </xf>
    <xf numFmtId="0" fontId="48" fillId="16" borderId="30" xfId="0" applyFont="1" applyFill="1" applyBorder="1" applyAlignment="1">
      <alignment horizontal="center" vertical="center"/>
    </xf>
    <xf numFmtId="4" fontId="59" fillId="0" borderId="39" xfId="0" applyNumberFormat="1" applyFont="1" applyBorder="1" applyAlignment="1">
      <alignment horizontal="center" vertical="center"/>
    </xf>
    <xf numFmtId="4" fontId="59" fillId="0" borderId="44" xfId="0" applyNumberFormat="1" applyFont="1" applyBorder="1" applyAlignment="1">
      <alignment horizontal="center" vertical="center"/>
    </xf>
    <xf numFmtId="4" fontId="59" fillId="0" borderId="34" xfId="0" applyNumberFormat="1" applyFont="1" applyBorder="1" applyAlignment="1">
      <alignment horizontal="center" vertical="center"/>
    </xf>
    <xf numFmtId="0" fontId="19" fillId="0" borderId="0" xfId="0" applyFont="1" applyAlignment="1">
      <alignment horizontal="center" vertical="center"/>
    </xf>
    <xf numFmtId="0" fontId="56" fillId="15" borderId="0" xfId="0" applyFont="1" applyFill="1" applyAlignment="1">
      <alignment horizontal="center"/>
    </xf>
    <xf numFmtId="0" fontId="142" fillId="15" borderId="0" xfId="0" applyFont="1" applyFill="1" applyAlignment="1">
      <alignment horizontal="center" vertical="center"/>
    </xf>
    <xf numFmtId="4" fontId="59" fillId="0" borderId="30" xfId="0" applyNumberFormat="1" applyFont="1" applyBorder="1" applyAlignment="1">
      <alignment horizontal="center" vertical="center"/>
    </xf>
    <xf numFmtId="0" fontId="59" fillId="0" borderId="30" xfId="0" applyFont="1" applyBorder="1" applyAlignment="1">
      <alignment horizontal="center" vertical="center"/>
    </xf>
    <xf numFmtId="0" fontId="61" fillId="29" borderId="125" xfId="0" applyFont="1" applyFill="1" applyBorder="1" applyAlignment="1">
      <alignment horizontal="center" vertical="center"/>
    </xf>
    <xf numFmtId="0" fontId="61" fillId="29" borderId="137" xfId="0" applyFont="1" applyFill="1" applyBorder="1" applyAlignment="1">
      <alignment horizontal="center" vertical="center"/>
    </xf>
    <xf numFmtId="0" fontId="61" fillId="29" borderId="138" xfId="0" applyFont="1" applyFill="1" applyBorder="1" applyAlignment="1">
      <alignment horizontal="center" vertical="center"/>
    </xf>
    <xf numFmtId="0" fontId="147" fillId="48" borderId="154" xfId="0" applyFont="1" applyFill="1" applyBorder="1" applyAlignment="1">
      <alignment horizontal="left" vertical="center"/>
    </xf>
    <xf numFmtId="0" fontId="147" fillId="48" borderId="155" xfId="0" applyFont="1" applyFill="1" applyBorder="1" applyAlignment="1">
      <alignment horizontal="left" vertical="center"/>
    </xf>
    <xf numFmtId="0" fontId="71" fillId="48" borderId="157" xfId="0" applyFont="1" applyFill="1" applyBorder="1" applyAlignment="1">
      <alignment horizontal="left" vertical="center"/>
    </xf>
    <xf numFmtId="0" fontId="71" fillId="48" borderId="158" xfId="0" applyFont="1" applyFill="1" applyBorder="1" applyAlignment="1">
      <alignment horizontal="left" vertical="center"/>
    </xf>
    <xf numFmtId="2" fontId="48" fillId="16" borderId="61" xfId="0" applyNumberFormat="1" applyFont="1" applyFill="1" applyBorder="1" applyAlignment="1">
      <alignment horizontal="left" vertical="center"/>
    </xf>
    <xf numFmtId="0" fontId="100" fillId="16" borderId="62" xfId="0" applyFont="1" applyFill="1" applyBorder="1" applyAlignment="1">
      <alignment horizontal="left" vertical="center"/>
    </xf>
    <xf numFmtId="3" fontId="48" fillId="41" borderId="30" xfId="0" applyNumberFormat="1" applyFont="1" applyFill="1" applyBorder="1" applyAlignment="1" applyProtection="1">
      <alignment horizontal="center" vertical="center"/>
      <protection locked="0"/>
    </xf>
    <xf numFmtId="0" fontId="100" fillId="16" borderId="60" xfId="0" applyFont="1" applyFill="1" applyBorder="1" applyAlignment="1" applyProtection="1">
      <alignment vertical="center"/>
      <protection locked="0"/>
    </xf>
    <xf numFmtId="0" fontId="125" fillId="15" borderId="0" xfId="0" applyFont="1" applyFill="1" applyAlignment="1">
      <alignment horizontal="left" vertical="center"/>
    </xf>
    <xf numFmtId="0" fontId="127" fillId="53" borderId="0" xfId="0" applyFont="1" applyFill="1" applyAlignment="1">
      <alignment vertical="center"/>
    </xf>
    <xf numFmtId="0" fontId="205" fillId="28" borderId="23" xfId="0" applyFont="1" applyFill="1" applyBorder="1" applyAlignment="1">
      <alignment horizontal="left" vertical="center" wrapText="1"/>
    </xf>
    <xf numFmtId="0" fontId="222" fillId="28" borderId="23" xfId="0" applyFont="1" applyFill="1" applyBorder="1" applyAlignment="1">
      <alignment horizontal="left" vertical="center"/>
    </xf>
    <xf numFmtId="0" fontId="26" fillId="0" borderId="148" xfId="0" applyFont="1" applyBorder="1" applyAlignment="1">
      <alignment horizontal="left" vertical="center" wrapText="1"/>
    </xf>
    <xf numFmtId="0" fontId="26" fillId="0" borderId="121" xfId="0" applyFont="1" applyBorder="1" applyAlignment="1">
      <alignment horizontal="left" vertical="center" wrapText="1"/>
    </xf>
    <xf numFmtId="0" fontId="26" fillId="0" borderId="39" xfId="0" applyFont="1" applyBorder="1" applyAlignment="1">
      <alignment horizontal="center" vertical="center"/>
    </xf>
    <xf numFmtId="0" fontId="26" fillId="0" borderId="97" xfId="0" applyFont="1" applyBorder="1" applyAlignment="1">
      <alignment horizontal="center" vertical="center"/>
    </xf>
    <xf numFmtId="9" fontId="26" fillId="2" borderId="152" xfId="0" applyNumberFormat="1" applyFont="1" applyFill="1" applyBorder="1" applyAlignment="1" applyProtection="1">
      <alignment horizontal="center" vertical="center"/>
      <protection locked="0"/>
    </xf>
    <xf numFmtId="9" fontId="26" fillId="2" borderId="123" xfId="0" applyNumberFormat="1" applyFont="1" applyFill="1" applyBorder="1" applyAlignment="1" applyProtection="1">
      <alignment horizontal="center" vertical="center"/>
      <protection locked="0"/>
    </xf>
    <xf numFmtId="3" fontId="63" fillId="16" borderId="39" xfId="0" applyNumberFormat="1" applyFont="1" applyFill="1" applyBorder="1" applyAlignment="1">
      <alignment horizontal="left" vertical="center" wrapText="1"/>
    </xf>
    <xf numFmtId="3" fontId="63" fillId="16" borderId="34" xfId="0" applyNumberFormat="1" applyFont="1" applyFill="1" applyBorder="1" applyAlignment="1">
      <alignment horizontal="left" vertical="center" wrapText="1"/>
    </xf>
    <xf numFmtId="166" fontId="26" fillId="2" borderId="60" xfId="0" applyNumberFormat="1" applyFont="1" applyFill="1" applyBorder="1" applyAlignment="1" applyProtection="1">
      <alignment horizontal="center" vertical="center"/>
      <protection locked="0"/>
    </xf>
    <xf numFmtId="166" fontId="26" fillId="2" borderId="63" xfId="0" applyNumberFormat="1" applyFont="1" applyFill="1" applyBorder="1" applyAlignment="1" applyProtection="1">
      <alignment horizontal="center" vertical="center"/>
      <protection locked="0"/>
    </xf>
    <xf numFmtId="3" fontId="26" fillId="2" borderId="59" xfId="0" applyNumberFormat="1" applyFont="1" applyFill="1" applyBorder="1" applyAlignment="1" applyProtection="1">
      <alignment horizontal="center" vertical="center"/>
      <protection locked="0"/>
    </xf>
    <xf numFmtId="3" fontId="26" fillId="2" borderId="61" xfId="0" applyNumberFormat="1" applyFont="1" applyFill="1" applyBorder="1" applyAlignment="1" applyProtection="1">
      <alignment horizontal="center" vertical="center"/>
      <protection locked="0"/>
    </xf>
    <xf numFmtId="0" fontId="61" fillId="29" borderId="30" xfId="0" applyFont="1" applyFill="1" applyBorder="1" applyAlignment="1">
      <alignment horizontal="center" vertical="center" wrapText="1"/>
    </xf>
    <xf numFmtId="0" fontId="62" fillId="16" borderId="39" xfId="0" applyFont="1" applyFill="1" applyBorder="1" applyAlignment="1">
      <alignment horizontal="center" vertical="center"/>
    </xf>
    <xf numFmtId="0" fontId="220" fillId="29" borderId="31" xfId="0" applyFont="1" applyFill="1" applyBorder="1" applyAlignment="1">
      <alignment horizontal="center" vertical="center"/>
    </xf>
    <xf numFmtId="0" fontId="221" fillId="16" borderId="28" xfId="0" applyFont="1" applyFill="1" applyBorder="1" applyAlignment="1">
      <alignment vertical="center"/>
    </xf>
    <xf numFmtId="0" fontId="221" fillId="16" borderId="29" xfId="0" applyFont="1" applyFill="1" applyBorder="1" applyAlignment="1">
      <alignment vertical="center"/>
    </xf>
    <xf numFmtId="2" fontId="227" fillId="2" borderId="30" xfId="0" applyNumberFormat="1" applyFont="1" applyFill="1" applyBorder="1" applyAlignment="1" applyProtection="1">
      <alignment horizontal="center" vertical="center" wrapText="1"/>
      <protection locked="0"/>
    </xf>
    <xf numFmtId="0" fontId="33" fillId="0" borderId="30" xfId="0" applyFont="1" applyBorder="1" applyAlignment="1" applyProtection="1">
      <alignment vertical="center"/>
      <protection locked="0"/>
    </xf>
    <xf numFmtId="0" fontId="33" fillId="0" borderId="30" xfId="0" applyFont="1" applyBorder="1" applyAlignment="1" applyProtection="1">
      <alignment horizontal="center" vertical="center"/>
      <protection locked="0"/>
    </xf>
    <xf numFmtId="2" fontId="227" fillId="2" borderId="31" xfId="0" applyNumberFormat="1" applyFont="1" applyFill="1" applyBorder="1" applyAlignment="1" applyProtection="1">
      <alignment horizontal="center" vertical="center" wrapText="1"/>
      <protection locked="0"/>
    </xf>
    <xf numFmtId="0" fontId="33" fillId="0" borderId="31" xfId="0" applyFont="1" applyBorder="1" applyAlignment="1" applyProtection="1">
      <alignment vertical="center"/>
      <protection locked="0"/>
    </xf>
    <xf numFmtId="0" fontId="220" fillId="29" borderId="30" xfId="0" applyFont="1" applyFill="1" applyBorder="1" applyAlignment="1">
      <alignment horizontal="center" vertical="center" wrapText="1"/>
    </xf>
    <xf numFmtId="0" fontId="221" fillId="16" borderId="30" xfId="0" applyFont="1" applyFill="1" applyBorder="1" applyAlignment="1">
      <alignment vertical="center"/>
    </xf>
    <xf numFmtId="0" fontId="221" fillId="16" borderId="31" xfId="0" applyFont="1" applyFill="1" applyBorder="1" applyAlignment="1">
      <alignment vertical="center"/>
    </xf>
    <xf numFmtId="0" fontId="207" fillId="29" borderId="29" xfId="0" applyFont="1" applyFill="1" applyBorder="1" applyAlignment="1">
      <alignment horizontal="left" vertical="center" wrapText="1"/>
    </xf>
    <xf numFmtId="0" fontId="208" fillId="16" borderId="30" xfId="0" applyFont="1" applyFill="1" applyBorder="1" applyAlignment="1">
      <alignment horizontal="left" vertical="center"/>
    </xf>
    <xf numFmtId="3" fontId="43" fillId="0" borderId="30" xfId="0" applyNumberFormat="1" applyFont="1" applyBorder="1" applyAlignment="1">
      <alignment horizontal="center" vertical="center"/>
    </xf>
    <xf numFmtId="0" fontId="221" fillId="16" borderId="30" xfId="0" applyFont="1" applyFill="1" applyBorder="1" applyAlignment="1">
      <alignment horizontal="center" vertical="center"/>
    </xf>
    <xf numFmtId="0" fontId="221" fillId="16" borderId="39" xfId="0" applyFont="1" applyFill="1" applyBorder="1" applyAlignment="1">
      <alignment horizontal="center" vertical="center"/>
    </xf>
    <xf numFmtId="0" fontId="43" fillId="14" borderId="23" xfId="0" applyFont="1" applyFill="1" applyBorder="1" applyAlignment="1">
      <alignment horizontal="left" vertical="center"/>
    </xf>
    <xf numFmtId="0" fontId="43" fillId="14" borderId="23" xfId="0" applyFont="1" applyFill="1" applyBorder="1" applyAlignment="1">
      <alignment vertical="center"/>
    </xf>
    <xf numFmtId="0" fontId="207" fillId="29" borderId="31" xfId="0" applyFont="1" applyFill="1" applyBorder="1" applyAlignment="1">
      <alignment horizontal="center" vertical="center"/>
    </xf>
    <xf numFmtId="0" fontId="208" fillId="16" borderId="28" xfId="0" applyFont="1" applyFill="1" applyBorder="1" applyAlignment="1">
      <alignment vertical="center"/>
    </xf>
    <xf numFmtId="0" fontId="208" fillId="16" borderId="29" xfId="0" applyFont="1" applyFill="1" applyBorder="1" applyAlignment="1">
      <alignment vertical="center"/>
    </xf>
    <xf numFmtId="0" fontId="228" fillId="29" borderId="30" xfId="0" applyFont="1" applyFill="1" applyBorder="1" applyAlignment="1">
      <alignment horizontal="center" vertical="center" wrapText="1"/>
    </xf>
    <xf numFmtId="0" fontId="229" fillId="16" borderId="30" xfId="0" applyFont="1" applyFill="1" applyBorder="1" applyAlignment="1">
      <alignment horizontal="center" vertical="center"/>
    </xf>
    <xf numFmtId="0" fontId="58" fillId="28" borderId="28" xfId="0" applyFont="1" applyFill="1" applyBorder="1" applyAlignment="1">
      <alignment horizontal="center" vertical="center"/>
    </xf>
    <xf numFmtId="0" fontId="60" fillId="15" borderId="28" xfId="0" applyFont="1" applyFill="1" applyBorder="1" applyAlignment="1">
      <alignment vertical="center"/>
    </xf>
    <xf numFmtId="166" fontId="43" fillId="11" borderId="39" xfId="1" applyNumberFormat="1" applyFont="1" applyFill="1" applyBorder="1" applyAlignment="1" applyProtection="1">
      <alignment horizontal="center" vertical="center"/>
      <protection locked="0"/>
    </xf>
    <xf numFmtId="166" fontId="43" fillId="11" borderId="34" xfId="1" applyNumberFormat="1" applyFont="1" applyFill="1" applyBorder="1" applyAlignment="1" applyProtection="1">
      <alignment horizontal="center" vertical="center"/>
      <protection locked="0"/>
    </xf>
    <xf numFmtId="0" fontId="167" fillId="29" borderId="112" xfId="0" applyFont="1" applyFill="1" applyBorder="1" applyAlignment="1">
      <alignment horizontal="center" vertical="center"/>
    </xf>
    <xf numFmtId="0" fontId="167" fillId="29" borderId="116" xfId="0" applyFont="1" applyFill="1" applyBorder="1" applyAlignment="1">
      <alignment horizontal="center" vertical="center"/>
    </xf>
    <xf numFmtId="0" fontId="167" fillId="29" borderId="113" xfId="0" applyFont="1" applyFill="1" applyBorder="1" applyAlignment="1">
      <alignment horizontal="center" vertical="center"/>
    </xf>
    <xf numFmtId="0" fontId="220" fillId="29" borderId="29" xfId="0" applyFont="1" applyFill="1" applyBorder="1" applyAlignment="1">
      <alignment horizontal="center" vertical="center" wrapText="1"/>
    </xf>
    <xf numFmtId="0" fontId="221" fillId="16" borderId="31" xfId="0" applyFont="1" applyFill="1" applyBorder="1" applyAlignment="1">
      <alignment horizontal="center" vertical="center"/>
    </xf>
    <xf numFmtId="0" fontId="221" fillId="16" borderId="29" xfId="0" applyFont="1" applyFill="1" applyBorder="1" applyAlignment="1">
      <alignment horizontal="center" vertical="center"/>
    </xf>
    <xf numFmtId="0" fontId="206" fillId="16" borderId="29" xfId="0" applyFont="1" applyFill="1" applyBorder="1" applyAlignment="1">
      <alignment horizontal="center" vertical="center"/>
    </xf>
    <xf numFmtId="0" fontId="206" fillId="16" borderId="30" xfId="0" applyFont="1" applyFill="1" applyBorder="1" applyAlignment="1">
      <alignment vertical="center"/>
    </xf>
    <xf numFmtId="0" fontId="206" fillId="16" borderId="30" xfId="0" applyFont="1" applyFill="1" applyBorder="1" applyAlignment="1">
      <alignment horizontal="center" vertical="center"/>
    </xf>
    <xf numFmtId="3" fontId="162" fillId="29" borderId="113" xfId="0" applyNumberFormat="1" applyFont="1" applyFill="1" applyBorder="1" applyAlignment="1">
      <alignment horizontal="center" vertical="center" wrapText="1"/>
    </xf>
    <xf numFmtId="3" fontId="162" fillId="29" borderId="60" xfId="0" applyNumberFormat="1" applyFont="1" applyFill="1" applyBorder="1" applyAlignment="1">
      <alignment horizontal="center" vertical="center" wrapText="1"/>
    </xf>
    <xf numFmtId="3" fontId="162" fillId="29" borderId="112" xfId="0" applyNumberFormat="1" applyFont="1" applyFill="1" applyBorder="1" applyAlignment="1">
      <alignment horizontal="center" vertical="center" wrapText="1"/>
    </xf>
    <xf numFmtId="3" fontId="162" fillId="29" borderId="59" xfId="0" applyNumberFormat="1" applyFont="1" applyFill="1" applyBorder="1" applyAlignment="1">
      <alignment horizontal="center" vertical="center" wrapText="1"/>
    </xf>
    <xf numFmtId="0" fontId="193" fillId="28" borderId="29" xfId="0" applyFont="1" applyFill="1" applyBorder="1" applyAlignment="1">
      <alignment horizontal="left" vertical="center" wrapText="1"/>
    </xf>
    <xf numFmtId="0" fontId="225" fillId="15" borderId="30" xfId="0" applyFont="1" applyFill="1" applyBorder="1" applyAlignment="1">
      <alignment horizontal="left" vertical="center"/>
    </xf>
    <xf numFmtId="0" fontId="225" fillId="15" borderId="29" xfId="0" applyFont="1" applyFill="1" applyBorder="1" applyAlignment="1">
      <alignment horizontal="left" vertical="center"/>
    </xf>
    <xf numFmtId="2" fontId="33" fillId="0" borderId="30" xfId="0" applyNumberFormat="1" applyFont="1" applyBorder="1" applyAlignment="1" applyProtection="1">
      <alignment horizontal="center" vertical="center"/>
      <protection locked="0"/>
    </xf>
    <xf numFmtId="2" fontId="33" fillId="0" borderId="31" xfId="0" applyNumberFormat="1" applyFont="1" applyBorder="1" applyAlignment="1" applyProtection="1">
      <alignment vertical="center"/>
      <protection locked="0"/>
    </xf>
    <xf numFmtId="2" fontId="227" fillId="0" borderId="39" xfId="0" applyNumberFormat="1" applyFont="1" applyBorder="1" applyAlignment="1">
      <alignment horizontal="center" vertical="center" wrapText="1"/>
    </xf>
    <xf numFmtId="2" fontId="227" fillId="0" borderId="44" xfId="0" applyNumberFormat="1" applyFont="1" applyBorder="1" applyAlignment="1">
      <alignment horizontal="center" vertical="center" wrapText="1"/>
    </xf>
    <xf numFmtId="2" fontId="227" fillId="0" borderId="34" xfId="0" applyNumberFormat="1" applyFont="1" applyBorder="1" applyAlignment="1">
      <alignment horizontal="center" vertical="center" wrapText="1"/>
    </xf>
    <xf numFmtId="3" fontId="43" fillId="0" borderId="39" xfId="0" applyNumberFormat="1" applyFont="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0" fontId="204" fillId="52" borderId="117" xfId="0" applyFont="1" applyFill="1" applyBorder="1" applyAlignment="1">
      <alignment horizontal="right" vertical="center" wrapText="1"/>
    </xf>
    <xf numFmtId="0" fontId="204" fillId="52" borderId="118" xfId="0" applyFont="1" applyFill="1" applyBorder="1" applyAlignment="1">
      <alignment horizontal="right" vertical="center" wrapText="1"/>
    </xf>
    <xf numFmtId="0" fontId="161" fillId="29" borderId="205" xfId="0" applyFont="1" applyFill="1" applyBorder="1" applyAlignment="1">
      <alignment horizontal="left" vertical="center"/>
    </xf>
    <xf numFmtId="0" fontId="161" fillId="29" borderId="206" xfId="0" applyFont="1" applyFill="1" applyBorder="1" applyAlignment="1">
      <alignment horizontal="left" vertical="center"/>
    </xf>
    <xf numFmtId="0" fontId="161" fillId="29" borderId="191" xfId="0" applyFont="1" applyFill="1" applyBorder="1" applyAlignment="1">
      <alignment horizontal="left" vertical="center"/>
    </xf>
    <xf numFmtId="0" fontId="193" fillId="28" borderId="23" xfId="0" applyFont="1" applyFill="1" applyBorder="1" applyAlignment="1">
      <alignment horizontal="left" vertical="center" wrapText="1"/>
    </xf>
    <xf numFmtId="0" fontId="202" fillId="52" borderId="148" xfId="0" applyFont="1" applyFill="1" applyBorder="1" applyAlignment="1">
      <alignment horizontal="right" vertical="center"/>
    </xf>
    <xf numFmtId="0" fontId="202" fillId="52" borderId="36" xfId="0" applyFont="1" applyFill="1" applyBorder="1" applyAlignment="1">
      <alignment horizontal="right" vertical="center"/>
    </xf>
    <xf numFmtId="0" fontId="202" fillId="61" borderId="207" xfId="0" applyFont="1" applyFill="1" applyBorder="1" applyAlignment="1">
      <alignment horizontal="right" vertical="center" wrapText="1"/>
    </xf>
    <xf numFmtId="0" fontId="202" fillId="61" borderId="208" xfId="0" applyFont="1" applyFill="1" applyBorder="1" applyAlignment="1">
      <alignment horizontal="right" vertical="center" wrapText="1"/>
    </xf>
    <xf numFmtId="0" fontId="202" fillId="52" borderId="150" xfId="0" applyFont="1" applyFill="1" applyBorder="1" applyAlignment="1">
      <alignment horizontal="right" vertical="center" wrapText="1"/>
    </xf>
    <xf numFmtId="0" fontId="202" fillId="52" borderId="149" xfId="0" applyFont="1" applyFill="1" applyBorder="1" applyAlignment="1">
      <alignment horizontal="right" vertical="center" wrapText="1"/>
    </xf>
    <xf numFmtId="0" fontId="202" fillId="52" borderId="31" xfId="0" applyFont="1" applyFill="1" applyBorder="1" applyAlignment="1">
      <alignment horizontal="right" vertical="center"/>
    </xf>
    <xf numFmtId="0" fontId="202" fillId="52" borderId="29" xfId="0" applyFont="1" applyFill="1" applyBorder="1" applyAlignment="1">
      <alignment horizontal="right" vertical="center"/>
    </xf>
    <xf numFmtId="0" fontId="202" fillId="52" borderId="37" xfId="0" applyFont="1" applyFill="1" applyBorder="1" applyAlignment="1">
      <alignment horizontal="right" vertical="center"/>
    </xf>
    <xf numFmtId="0" fontId="202" fillId="52" borderId="120" xfId="0" applyFont="1" applyFill="1" applyBorder="1" applyAlignment="1">
      <alignment horizontal="right" vertical="center"/>
    </xf>
    <xf numFmtId="0" fontId="161" fillId="29" borderId="192" xfId="0" applyFont="1" applyFill="1" applyBorder="1" applyAlignment="1">
      <alignment horizontal="center" vertical="center" wrapText="1"/>
    </xf>
    <xf numFmtId="0" fontId="161" fillId="29" borderId="193" xfId="0" applyFont="1" applyFill="1" applyBorder="1" applyAlignment="1">
      <alignment horizontal="center" vertical="center" wrapText="1"/>
    </xf>
    <xf numFmtId="0" fontId="161" fillId="29" borderId="194" xfId="0" applyFont="1" applyFill="1" applyBorder="1" applyAlignment="1">
      <alignment horizontal="center" vertical="center" wrapText="1"/>
    </xf>
    <xf numFmtId="0" fontId="202" fillId="52" borderId="134" xfId="0" applyFont="1" applyFill="1" applyBorder="1" applyAlignment="1">
      <alignment horizontal="right" vertical="center" wrapText="1"/>
    </xf>
    <xf numFmtId="0" fontId="172" fillId="16" borderId="202" xfId="0" applyFont="1" applyFill="1" applyBorder="1" applyAlignment="1">
      <alignment horizontal="center" vertical="center" wrapText="1"/>
    </xf>
    <xf numFmtId="0" fontId="172" fillId="16" borderId="131" xfId="0" applyFont="1" applyFill="1" applyBorder="1" applyAlignment="1">
      <alignment horizontal="center" vertical="center" wrapText="1"/>
    </xf>
    <xf numFmtId="0" fontId="172" fillId="57" borderId="203" xfId="0" applyFont="1" applyFill="1" applyBorder="1" applyAlignment="1">
      <alignment horizontal="center" vertical="center" wrapText="1"/>
    </xf>
    <xf numFmtId="0" fontId="172" fillId="57" borderId="204" xfId="0" applyFont="1" applyFill="1" applyBorder="1" applyAlignment="1">
      <alignment horizontal="center" vertical="center" wrapText="1"/>
    </xf>
    <xf numFmtId="0" fontId="9" fillId="0" borderId="23" xfId="0" applyFont="1" applyBorder="1" applyAlignment="1">
      <alignment horizontal="center" vertical="center" wrapText="1"/>
    </xf>
    <xf numFmtId="166" fontId="203" fillId="56" borderId="184" xfId="1" applyNumberFormat="1" applyFont="1" applyFill="1" applyBorder="1" applyAlignment="1">
      <alignment horizontal="center" vertical="center"/>
    </xf>
    <xf numFmtId="166" fontId="203" fillId="56" borderId="178" xfId="1" applyNumberFormat="1" applyFont="1" applyFill="1" applyBorder="1" applyAlignment="1">
      <alignment horizontal="center" vertical="center"/>
    </xf>
    <xf numFmtId="166" fontId="203" fillId="56" borderId="179" xfId="1" applyNumberFormat="1" applyFont="1" applyFill="1" applyBorder="1" applyAlignment="1">
      <alignment horizontal="center" vertical="center"/>
    </xf>
    <xf numFmtId="0" fontId="248" fillId="56" borderId="185" xfId="0" applyFont="1" applyFill="1" applyBorder="1" applyAlignment="1">
      <alignment horizontal="left" vertical="center" wrapText="1"/>
    </xf>
    <xf numFmtId="0" fontId="248" fillId="56" borderId="119" xfId="0" applyFont="1" applyFill="1" applyBorder="1" applyAlignment="1">
      <alignment horizontal="left" vertical="center" wrapText="1"/>
    </xf>
    <xf numFmtId="0" fontId="248" fillId="56" borderId="121" xfId="0" applyFont="1" applyFill="1" applyBorder="1" applyAlignment="1">
      <alignment horizontal="left" vertical="center" wrapText="1"/>
    </xf>
    <xf numFmtId="0" fontId="248" fillId="56" borderId="123" xfId="0" applyFont="1" applyFill="1" applyBorder="1" applyAlignment="1">
      <alignment horizontal="left" vertical="center" wrapText="1"/>
    </xf>
    <xf numFmtId="0" fontId="203" fillId="11" borderId="185" xfId="0" applyFont="1" applyFill="1" applyBorder="1" applyAlignment="1" applyProtection="1">
      <alignment horizontal="left" vertical="center" wrapText="1"/>
      <protection locked="0"/>
    </xf>
    <xf numFmtId="0" fontId="203" fillId="11" borderId="117" xfId="0" applyFont="1" applyFill="1" applyBorder="1" applyAlignment="1" applyProtection="1">
      <alignment horizontal="left" vertical="center" wrapText="1"/>
      <protection locked="0"/>
    </xf>
    <xf numFmtId="0" fontId="203" fillId="11" borderId="119" xfId="0" applyFont="1" applyFill="1" applyBorder="1" applyAlignment="1" applyProtection="1">
      <alignment horizontal="left" vertical="center" wrapText="1"/>
      <protection locked="0"/>
    </xf>
    <xf numFmtId="0" fontId="203" fillId="11" borderId="121" xfId="0" applyFont="1" applyFill="1" applyBorder="1" applyAlignment="1" applyProtection="1">
      <alignment horizontal="left" vertical="center" wrapText="1"/>
      <protection locked="0"/>
    </xf>
    <xf numFmtId="0" fontId="203" fillId="11" borderId="122" xfId="0" applyFont="1" applyFill="1" applyBorder="1" applyAlignment="1" applyProtection="1">
      <alignment horizontal="left" vertical="center" wrapText="1"/>
      <protection locked="0"/>
    </xf>
    <xf numFmtId="0" fontId="203" fillId="11" borderId="123" xfId="0" applyFont="1" applyFill="1" applyBorder="1" applyAlignment="1" applyProtection="1">
      <alignment horizontal="left" vertical="center" wrapText="1"/>
      <protection locked="0"/>
    </xf>
    <xf numFmtId="0" fontId="244" fillId="0" borderId="186" xfId="4" applyFont="1" applyBorder="1" applyAlignment="1">
      <alignment horizontal="right" vertical="center"/>
    </xf>
    <xf numFmtId="0" fontId="244" fillId="0" borderId="142" xfId="4" applyFont="1" applyBorder="1" applyAlignment="1">
      <alignment horizontal="right" vertical="center"/>
    </xf>
    <xf numFmtId="0" fontId="244" fillId="0" borderId="187" xfId="4" applyFont="1" applyBorder="1" applyAlignment="1">
      <alignment horizontal="right" vertical="center"/>
    </xf>
    <xf numFmtId="0" fontId="244" fillId="0" borderId="141" xfId="4" applyFont="1" applyBorder="1" applyAlignment="1">
      <alignment horizontal="right" vertical="center"/>
    </xf>
    <xf numFmtId="0" fontId="250" fillId="56" borderId="184" xfId="0" applyFont="1" applyFill="1" applyBorder="1" applyAlignment="1">
      <alignment horizontal="left" vertical="center"/>
    </xf>
    <xf numFmtId="0" fontId="250" fillId="56" borderId="178" xfId="0" applyFont="1" applyFill="1" applyBorder="1" applyAlignment="1">
      <alignment horizontal="left" vertical="center"/>
    </xf>
    <xf numFmtId="0" fontId="250" fillId="56" borderId="179" xfId="0" applyFont="1" applyFill="1" applyBorder="1" applyAlignment="1">
      <alignment horizontal="left" vertical="center"/>
    </xf>
    <xf numFmtId="0" fontId="172" fillId="56" borderId="184" xfId="0" applyFont="1" applyFill="1" applyBorder="1" applyAlignment="1">
      <alignment horizontal="left" vertical="center"/>
    </xf>
    <xf numFmtId="0" fontId="172" fillId="56" borderId="178" xfId="0" applyFont="1" applyFill="1" applyBorder="1" applyAlignment="1">
      <alignment horizontal="left" vertical="center"/>
    </xf>
    <xf numFmtId="0" fontId="172" fillId="56" borderId="179" xfId="0" applyFont="1" applyFill="1" applyBorder="1" applyAlignment="1">
      <alignment horizontal="left" vertical="center"/>
    </xf>
    <xf numFmtId="0" fontId="178" fillId="31" borderId="56" xfId="0" applyFont="1" applyFill="1" applyBorder="1" applyAlignment="1">
      <alignment horizontal="center" vertical="center" wrapText="1"/>
    </xf>
    <xf numFmtId="0" fontId="179" fillId="16" borderId="57" xfId="0" applyFont="1" applyFill="1" applyBorder="1" applyAlignment="1">
      <alignment wrapText="1"/>
    </xf>
    <xf numFmtId="0" fontId="179" fillId="16" borderId="58" xfId="0" applyFont="1" applyFill="1" applyBorder="1" applyAlignment="1">
      <alignment wrapText="1"/>
    </xf>
    <xf numFmtId="0" fontId="172" fillId="32" borderId="94" xfId="0" applyFont="1" applyFill="1" applyBorder="1" applyAlignment="1">
      <alignment horizontal="center" vertical="center"/>
    </xf>
    <xf numFmtId="0" fontId="180" fillId="16" borderId="95" xfId="0" applyFont="1" applyFill="1" applyBorder="1"/>
    <xf numFmtId="0" fontId="180" fillId="16" borderId="96" xfId="0" applyFont="1" applyFill="1" applyBorder="1"/>
    <xf numFmtId="0" fontId="147" fillId="48" borderId="28" xfId="0" applyFont="1" applyFill="1" applyBorder="1" applyAlignment="1">
      <alignment horizontal="left" vertical="center"/>
    </xf>
    <xf numFmtId="0" fontId="147" fillId="48" borderId="29" xfId="0" applyFont="1" applyFill="1" applyBorder="1"/>
    <xf numFmtId="0" fontId="169" fillId="37" borderId="23" xfId="0" applyFont="1" applyFill="1" applyBorder="1" applyAlignment="1">
      <alignment horizontal="left" vertical="center" wrapText="1"/>
    </xf>
    <xf numFmtId="0" fontId="178" fillId="31" borderId="56" xfId="0" applyFont="1" applyFill="1" applyBorder="1" applyAlignment="1">
      <alignment horizontal="center" vertical="center"/>
    </xf>
    <xf numFmtId="0" fontId="179" fillId="16" borderId="57" xfId="0" applyFont="1" applyFill="1" applyBorder="1"/>
    <xf numFmtId="0" fontId="179" fillId="16" borderId="58" xfId="0" applyFont="1" applyFill="1" applyBorder="1"/>
    <xf numFmtId="0" fontId="162" fillId="32" borderId="99" xfId="0" applyFont="1" applyFill="1" applyBorder="1" applyAlignment="1">
      <alignment horizontal="center" vertical="center"/>
    </xf>
    <xf numFmtId="0" fontId="163" fillId="16" borderId="100" xfId="0" applyFont="1" applyFill="1" applyBorder="1"/>
    <xf numFmtId="0" fontId="163" fillId="16" borderId="101" xfId="0" applyFont="1" applyFill="1" applyBorder="1"/>
    <xf numFmtId="0" fontId="170" fillId="37" borderId="23" xfId="0" applyFont="1" applyFill="1" applyBorder="1" applyAlignment="1">
      <alignment horizontal="left" vertical="center" wrapText="1"/>
    </xf>
    <xf numFmtId="0" fontId="282" fillId="0" borderId="23" xfId="7" applyFont="1" applyBorder="1" applyAlignment="1">
      <alignment horizontal="center" vertical="top"/>
    </xf>
    <xf numFmtId="0" fontId="271" fillId="14" borderId="23" xfId="6" applyFont="1" applyFill="1" applyAlignment="1">
      <alignment horizontal="right"/>
    </xf>
    <xf numFmtId="0" fontId="59" fillId="16" borderId="23" xfId="6" applyFont="1" applyFill="1" applyAlignment="1">
      <alignment horizontal="right" vertical="center"/>
    </xf>
    <xf numFmtId="0" fontId="59" fillId="16" borderId="23" xfId="6" applyFont="1" applyFill="1" applyAlignment="1">
      <alignment horizontal="center"/>
    </xf>
    <xf numFmtId="0" fontId="59" fillId="16" borderId="23" xfId="6" applyFont="1" applyFill="1" applyAlignment="1">
      <alignment horizontal="right" wrapText="1"/>
    </xf>
    <xf numFmtId="0" fontId="281" fillId="0" borderId="23" xfId="6" applyFont="1" applyAlignment="1">
      <alignment horizontal="center"/>
    </xf>
    <xf numFmtId="0" fontId="315" fillId="14" borderId="23" xfId="6" applyFont="1" applyFill="1" applyAlignment="1" applyProtection="1">
      <alignment horizontal="center" vertical="center"/>
      <protection locked="0"/>
    </xf>
    <xf numFmtId="0" fontId="63" fillId="16" borderId="244" xfId="6" applyFont="1" applyFill="1" applyBorder="1" applyAlignment="1" applyProtection="1">
      <alignment horizontal="center" vertical="center"/>
      <protection locked="0"/>
    </xf>
    <xf numFmtId="0" fontId="63" fillId="16" borderId="245" xfId="6" applyFont="1" applyFill="1" applyBorder="1" applyAlignment="1" applyProtection="1">
      <alignment horizontal="center" vertical="center"/>
      <protection locked="0"/>
    </xf>
    <xf numFmtId="0" fontId="63" fillId="16" borderId="246" xfId="6" applyFont="1" applyFill="1" applyBorder="1" applyAlignment="1" applyProtection="1">
      <alignment horizontal="center" vertical="center"/>
      <protection locked="0"/>
    </xf>
    <xf numFmtId="0" fontId="49" fillId="0" borderId="51" xfId="6" applyFont="1" applyBorder="1" applyAlignment="1">
      <alignment horizontal="left" vertical="center"/>
    </xf>
    <xf numFmtId="0" fontId="49" fillId="0" borderId="231" xfId="6" applyFont="1" applyBorder="1" applyAlignment="1">
      <alignment horizontal="left" vertical="center"/>
    </xf>
    <xf numFmtId="0" fontId="49" fillId="0" borderId="52" xfId="6" applyFont="1" applyBorder="1" applyAlignment="1">
      <alignment horizontal="left" vertical="center"/>
    </xf>
    <xf numFmtId="0" fontId="327" fillId="64" borderId="55" xfId="6" applyFont="1" applyFill="1" applyBorder="1" applyAlignment="1">
      <alignment horizontal="center" vertical="center" wrapText="1"/>
    </xf>
    <xf numFmtId="0" fontId="327" fillId="64" borderId="232" xfId="6" applyFont="1" applyFill="1" applyBorder="1" applyAlignment="1">
      <alignment horizontal="center" vertical="center" wrapText="1"/>
    </xf>
    <xf numFmtId="0" fontId="59" fillId="64" borderId="243" xfId="6" applyFont="1" applyFill="1" applyBorder="1" applyAlignment="1">
      <alignment horizontal="center" vertical="center" wrapText="1"/>
    </xf>
    <xf numFmtId="0" fontId="59" fillId="64" borderId="232" xfId="6" applyFont="1" applyFill="1" applyBorder="1" applyAlignment="1">
      <alignment horizontal="center" vertical="center" wrapText="1"/>
    </xf>
    <xf numFmtId="0" fontId="59" fillId="64" borderId="55" xfId="6" applyFont="1" applyFill="1" applyBorder="1" applyAlignment="1">
      <alignment horizontal="center" vertical="center" wrapText="1"/>
    </xf>
    <xf numFmtId="0" fontId="336" fillId="69" borderId="23" xfId="6" applyFont="1" applyFill="1" applyAlignment="1">
      <alignment horizontal="center"/>
    </xf>
    <xf numFmtId="0" fontId="337" fillId="69" borderId="23" xfId="6" applyFont="1" applyFill="1"/>
    <xf numFmtId="3" fontId="336" fillId="69" borderId="23" xfId="6" applyNumberFormat="1" applyFont="1" applyFill="1" applyAlignment="1">
      <alignment horizontal="center"/>
    </xf>
    <xf numFmtId="3" fontId="337" fillId="69" borderId="23" xfId="6" applyNumberFormat="1" applyFont="1" applyFill="1"/>
    <xf numFmtId="0" fontId="159" fillId="69" borderId="23" xfId="6" applyFont="1" applyFill="1" applyAlignment="1">
      <alignment horizontal="center"/>
    </xf>
    <xf numFmtId="0" fontId="157" fillId="69" borderId="23" xfId="6" applyFont="1" applyFill="1"/>
    <xf numFmtId="3" fontId="159" fillId="69" borderId="23" xfId="6" applyNumberFormat="1" applyFont="1" applyFill="1" applyAlignment="1">
      <alignment horizontal="center" vertical="center"/>
    </xf>
    <xf numFmtId="3" fontId="157" fillId="69" borderId="23" xfId="6" applyNumberFormat="1" applyFont="1" applyFill="1" applyAlignment="1">
      <alignment vertical="center"/>
    </xf>
    <xf numFmtId="3" fontId="159" fillId="69" borderId="23" xfId="6" applyNumberFormat="1" applyFont="1" applyFill="1" applyAlignment="1">
      <alignment horizontal="center"/>
    </xf>
    <xf numFmtId="3" fontId="157" fillId="69" borderId="23" xfId="6" applyNumberFormat="1" applyFont="1" applyFill="1"/>
    <xf numFmtId="0" fontId="50" fillId="16" borderId="51" xfId="6" applyFont="1" applyFill="1" applyBorder="1" applyAlignment="1">
      <alignment horizontal="center" vertical="center"/>
    </xf>
    <xf numFmtId="0" fontId="50" fillId="16" borderId="231" xfId="6" applyFont="1" applyFill="1" applyBorder="1" applyAlignment="1">
      <alignment horizontal="center" vertical="center"/>
    </xf>
    <xf numFmtId="0" fontId="50" fillId="16" borderId="52" xfId="6" applyFont="1" applyFill="1" applyBorder="1" applyAlignment="1">
      <alignment horizontal="center" vertical="center"/>
    </xf>
    <xf numFmtId="0" fontId="50" fillId="16" borderId="51" xfId="6" applyFont="1" applyFill="1" applyBorder="1" applyAlignment="1" applyProtection="1">
      <alignment horizontal="center" vertical="center"/>
      <protection locked="0"/>
    </xf>
    <xf numFmtId="0" fontId="50" fillId="16" borderId="52" xfId="6" applyFont="1" applyFill="1" applyBorder="1" applyAlignment="1" applyProtection="1">
      <alignment horizontal="center" vertical="center"/>
      <protection locked="0"/>
    </xf>
    <xf numFmtId="0" fontId="50" fillId="16" borderId="51" xfId="6" applyFont="1" applyFill="1" applyBorder="1" applyAlignment="1">
      <alignment horizontal="left" vertical="center"/>
    </xf>
    <xf numFmtId="0" fontId="50" fillId="16" borderId="231" xfId="6" applyFont="1" applyFill="1" applyBorder="1" applyAlignment="1">
      <alignment horizontal="left" vertical="center"/>
    </xf>
    <xf numFmtId="0" fontId="50" fillId="16" borderId="52" xfId="6" applyFont="1" applyFill="1" applyBorder="1" applyAlignment="1">
      <alignment horizontal="left" vertical="center"/>
    </xf>
    <xf numFmtId="0" fontId="59" fillId="14" borderId="51" xfId="6" applyFont="1" applyFill="1" applyBorder="1" applyAlignment="1">
      <alignment horizontal="center" vertical="center"/>
    </xf>
    <xf numFmtId="0" fontId="59" fillId="14" borderId="231" xfId="6" applyFont="1" applyFill="1" applyBorder="1" applyAlignment="1">
      <alignment horizontal="center" vertical="center"/>
    </xf>
    <xf numFmtId="0" fontId="59" fillId="14" borderId="52" xfId="6" applyFont="1" applyFill="1" applyBorder="1" applyAlignment="1">
      <alignment horizontal="center" vertical="center"/>
    </xf>
  </cellXfs>
  <cellStyles count="12">
    <cellStyle name="Hiperlink 2" xfId="7" xr:uid="{4ECD7596-7D9B-42AA-9128-CC3062C3E7CF}"/>
    <cellStyle name="Normal" xfId="0" builtinId="0"/>
    <cellStyle name="Normal 2" xfId="2" xr:uid="{00000000-0005-0000-0000-000001000000}"/>
    <cellStyle name="Normal 3" xfId="4" xr:uid="{00000000-0005-0000-0000-000002000000}"/>
    <cellStyle name="Normal 4" xfId="6" xr:uid="{8F5EBE5D-809C-4F4D-A1D6-69C7CA58E649}"/>
    <cellStyle name="Porcentagem" xfId="1" builtinId="5"/>
    <cellStyle name="Porcentagem 2" xfId="3" xr:uid="{00000000-0005-0000-0000-000004000000}"/>
    <cellStyle name="Porcentagem 2 2" xfId="8" xr:uid="{2413E6F7-CED4-4A9A-AAF4-A158B62B13CF}"/>
    <cellStyle name="Porcentagem 2 3" xfId="11" xr:uid="{3D28C936-B68E-4A90-8F7E-F3F32357913A}"/>
    <cellStyle name="Porcentagem 3" xfId="5" xr:uid="{00000000-0005-0000-0000-000005000000}"/>
    <cellStyle name="Porcentagem 4" xfId="9" xr:uid="{F0130D00-91B3-49C6-A2F8-14B22DC7FA7B}"/>
    <cellStyle name="Vírgula 2" xfId="10" xr:uid="{864E81B6-C3C5-494A-BDC9-86A83D960DAC}"/>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271.47431449515818</c:v>
                </c:pt>
                <c:pt idx="3">
                  <c:v>0</c:v>
                </c:pt>
                <c:pt idx="4">
                  <c:v>0</c:v>
                </c:pt>
                <c:pt idx="5">
                  <c:v>0</c:v>
                </c:pt>
                <c:pt idx="6">
                  <c:v>0</c:v>
                </c:pt>
                <c:pt idx="7">
                  <c:v>3393.6990411431511</c:v>
                </c:pt>
                <c:pt idx="8">
                  <c:v>100.59114759540485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2164.8558753351904</c:v>
                </c:pt>
                <c:pt idx="3">
                  <c:v>0</c:v>
                </c:pt>
                <c:pt idx="4">
                  <c:v>0</c:v>
                </c:pt>
                <c:pt idx="5">
                  <c:v>0</c:v>
                </c:pt>
                <c:pt idx="6">
                  <c:v>0</c:v>
                </c:pt>
                <c:pt idx="7">
                  <c:v>3413.481884980622</c:v>
                </c:pt>
                <c:pt idx="8">
                  <c:v>307.17570840289852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274.23896328770059</c:v>
                </c:pt>
                <c:pt idx="8">
                  <c:v>38.484942251408157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275.83758076058143</c:v>
                </c:pt>
                <c:pt idx="8" formatCode="0">
                  <c:v>117.5216674778345</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45.926300813318825</c:v>
                </c:pt>
                <c:pt idx="3" formatCode="#,##0">
                  <c:v>0</c:v>
                </c:pt>
                <c:pt idx="4" formatCode="#,##0">
                  <c:v>0</c:v>
                </c:pt>
                <c:pt idx="5" formatCode="#,##0">
                  <c:v>0</c:v>
                </c:pt>
                <c:pt idx="6" formatCode="#,##0">
                  <c:v>0</c:v>
                </c:pt>
                <c:pt idx="7" formatCode="#,##0">
                  <c:v>329.9905932351445</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465.23671984149001</c:v>
                </c:pt>
                <c:pt idx="8">
                  <c:v>92.750068108974375</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-73.325847893953821</c:v>
                </c:pt>
                <c:pt idx="1">
                  <c:v>-282.13618665223282</c:v>
                </c:pt>
                <c:pt idx="2">
                  <c:v>-408.43302955632026</c:v>
                </c:pt>
                <c:pt idx="3">
                  <c:v>-389.49076892818124</c:v>
                </c:pt>
                <c:pt idx="4">
                  <c:v>-370.30105198170406</c:v>
                </c:pt>
                <c:pt idx="5">
                  <c:v>-350.86271567219256</c:v>
                </c:pt>
                <c:pt idx="6">
                  <c:v>-331.17459148864049</c:v>
                </c:pt>
                <c:pt idx="7">
                  <c:v>-311.2355054280398</c:v>
                </c:pt>
                <c:pt idx="8">
                  <c:v>-291.04427796956838</c:v>
                </c:pt>
                <c:pt idx="9">
                  <c:v>-270.5997240486563</c:v>
                </c:pt>
                <c:pt idx="10">
                  <c:v>-249.90065303093002</c:v>
                </c:pt>
                <c:pt idx="11">
                  <c:v>-228.94586868603454</c:v>
                </c:pt>
                <c:pt idx="12">
                  <c:v>-207.73416916133218</c:v>
                </c:pt>
                <c:pt idx="13">
                  <c:v>-186.26434695547781</c:v>
                </c:pt>
                <c:pt idx="14">
                  <c:v>-164.53518889187004</c:v>
                </c:pt>
                <c:pt idx="15">
                  <c:v>-142.54547609197741</c:v>
                </c:pt>
                <c:pt idx="16">
                  <c:v>-120.29398394853939</c:v>
                </c:pt>
                <c:pt idx="17">
                  <c:v>-97.779482098641338</c:v>
                </c:pt>
                <c:pt idx="18">
                  <c:v>-75.000734396662892</c:v>
                </c:pt>
                <c:pt idx="19">
                  <c:v>-51.956498887099258</c:v>
                </c:pt>
                <c:pt idx="20">
                  <c:v>-28.645527777254777</c:v>
                </c:pt>
                <c:pt idx="21">
                  <c:v>-5.0665674098081404</c:v>
                </c:pt>
                <c:pt idx="22">
                  <c:v>18.781641764751388</c:v>
                </c:pt>
                <c:pt idx="23">
                  <c:v>42.900365215817232</c:v>
                </c:pt>
                <c:pt idx="24">
                  <c:v>67.290874360488971</c:v>
                </c:pt>
                <c:pt idx="25">
                  <c:v>91.954446591526548</c:v>
                </c:pt>
                <c:pt idx="26">
                  <c:v>116.8923653054359</c:v>
                </c:pt>
                <c:pt idx="27">
                  <c:v>142.10591993068653</c:v>
                </c:pt>
                <c:pt idx="28">
                  <c:v>167.59640595606172</c:v>
                </c:pt>
                <c:pt idx="29">
                  <c:v>193.36512495914204</c:v>
                </c:pt>
                <c:pt idx="30">
                  <c:v>219.41338463492275</c:v>
                </c:pt>
                <c:pt idx="31">
                  <c:v>245.7424988245655</c:v>
                </c:pt>
                <c:pt idx="32">
                  <c:v>272.35378754428547</c:v>
                </c:pt>
                <c:pt idx="33">
                  <c:v>299.24857701437401</c:v>
                </c:pt>
                <c:pt idx="34">
                  <c:v>326.42819968835784</c:v>
                </c:pt>
                <c:pt idx="35">
                  <c:v>353.8939942822953</c:v>
                </c:pt>
                <c:pt idx="36">
                  <c:v>381.64730580421013</c:v>
                </c:pt>
                <c:pt idx="37">
                  <c:v>409.6894855836639</c:v>
                </c:pt>
                <c:pt idx="38">
                  <c:v>438.02189130146695</c:v>
                </c:pt>
                <c:pt idx="39">
                  <c:v>466.6458870195296</c:v>
                </c:pt>
                <c:pt idx="40">
                  <c:v>495.56284321085303</c:v>
                </c:pt>
                <c:pt idx="41">
                  <c:v>524.77413678966161</c:v>
                </c:pt>
                <c:pt idx="42">
                  <c:v>554.28115114167645</c:v>
                </c:pt>
                <c:pt idx="43">
                  <c:v>584.08527615453158</c:v>
                </c:pt>
                <c:pt idx="44">
                  <c:v>614.18790824833309</c:v>
                </c:pt>
                <c:pt idx="45">
                  <c:v>644.59045040636136</c:v>
                </c:pt>
                <c:pt idx="46">
                  <c:v>675.29431220591823</c:v>
                </c:pt>
                <c:pt idx="47">
                  <c:v>706.30090984931894</c:v>
                </c:pt>
                <c:pt idx="48">
                  <c:v>737.61166619502944</c:v>
                </c:pt>
                <c:pt idx="49">
                  <c:v>769.22801078895077</c:v>
                </c:pt>
                <c:pt idx="50">
                  <c:v>801.15137989584935</c:v>
                </c:pt>
                <c:pt idx="51">
                  <c:v>833.38321653093624</c:v>
                </c:pt>
                <c:pt idx="52">
                  <c:v>865.92497049159397</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37.071473249227118</c:v>
                </c:pt>
                <c:pt idx="1">
                  <c:v>27.657856933871557</c:v>
                </c:pt>
                <c:pt idx="2">
                  <c:v>35.148795016792263</c:v>
                </c:pt>
                <c:pt idx="3">
                  <c:v>13.017710076308202</c:v>
                </c:pt>
                <c:pt idx="4">
                  <c:v>-7.6792535936310991</c:v>
                </c:pt>
                <c:pt idx="5">
                  <c:v>-26.940792322958373</c:v>
                </c:pt>
                <c:pt idx="6">
                  <c:v>-44.765596314357012</c:v>
                </c:pt>
                <c:pt idx="7">
                  <c:v>-61.152349614463077</c:v>
                </c:pt>
                <c:pt idx="8">
                  <c:v>-76.099730084931736</c:v>
                </c:pt>
                <c:pt idx="9">
                  <c:v>-89.606409373367967</c:v>
                </c:pt>
                <c:pt idx="10">
                  <c:v>-101.67105288412056</c:v>
                </c:pt>
                <c:pt idx="11">
                  <c:v>-112.29231974893864</c:v>
                </c:pt>
                <c:pt idx="12">
                  <c:v>-121.46886279749062</c:v>
                </c:pt>
                <c:pt idx="13">
                  <c:v>-129.19932852774434</c:v>
                </c:pt>
                <c:pt idx="14">
                  <c:v>-135.48235707620807</c:v>
                </c:pt>
                <c:pt idx="15">
                  <c:v>-140.3165821880317</c:v>
                </c:pt>
                <c:pt idx="16">
                  <c:v>-143.70063118696729</c:v>
                </c:pt>
                <c:pt idx="17">
                  <c:v>-145.63312494518854</c:v>
                </c:pt>
                <c:pt idx="18">
                  <c:v>-146.1126778529684</c:v>
                </c:pt>
                <c:pt idx="19">
                  <c:v>-145.13789778821408</c:v>
                </c:pt>
                <c:pt idx="20">
                  <c:v>-142.70738608585896</c:v>
                </c:pt>
                <c:pt idx="21">
                  <c:v>-138.8197375071106</c:v>
                </c:pt>
                <c:pt idx="22">
                  <c:v>-133.47354020855425</c:v>
                </c:pt>
                <c:pt idx="23">
                  <c:v>-103.53248250138608</c:v>
                </c:pt>
                <c:pt idx="24">
                  <c:v>-73.286777109886856</c:v>
                </c:pt>
                <c:pt idx="25">
                  <c:v>-42.734992189940208</c:v>
                </c:pt>
                <c:pt idx="26">
                  <c:v>-11.875689167762467</c:v>
                </c:pt>
                <c:pt idx="27">
                  <c:v>19.292577291726882</c:v>
                </c:pt>
                <c:pt idx="28">
                  <c:v>50.771259316683185</c:v>
                </c:pt>
                <c:pt idx="29">
                  <c:v>82.561815860264161</c:v>
                </c:pt>
                <c:pt idx="30">
                  <c:v>114.66571273270733</c:v>
                </c:pt>
                <c:pt idx="31">
                  <c:v>147.08442263355835</c:v>
                </c:pt>
                <c:pt idx="32">
                  <c:v>179.81942518405077</c:v>
                </c:pt>
                <c:pt idx="33">
                  <c:v>212.87220695963782</c:v>
                </c:pt>
                <c:pt idx="34">
                  <c:v>246.24426152267753</c:v>
                </c:pt>
                <c:pt idx="35">
                  <c:v>279.93708945527089</c:v>
                </c:pt>
                <c:pt idx="36">
                  <c:v>313.95219839225484</c:v>
                </c:pt>
                <c:pt idx="37">
                  <c:v>348.29110305434995</c:v>
                </c:pt>
                <c:pt idx="38">
                  <c:v>382.9553252814643</c:v>
                </c:pt>
                <c:pt idx="39">
                  <c:v>417.94639406615346</c:v>
                </c:pt>
                <c:pt idx="40">
                  <c:v>453.265845587238</c:v>
                </c:pt>
                <c:pt idx="41">
                  <c:v>488.91522324357902</c:v>
                </c:pt>
                <c:pt idx="42">
                  <c:v>524.89607768801216</c:v>
                </c:pt>
                <c:pt idx="43">
                  <c:v>561.20996686144156</c:v>
                </c:pt>
                <c:pt idx="44">
                  <c:v>597.85845602709344</c:v>
                </c:pt>
                <c:pt idx="45">
                  <c:v>634.84311780493124</c:v>
                </c:pt>
                <c:pt idx="46">
                  <c:v>672.16553220623223</c:v>
                </c:pt>
                <c:pt idx="47">
                  <c:v>709.82728666832668</c:v>
                </c:pt>
                <c:pt idx="48">
                  <c:v>747.82997608950041</c:v>
                </c:pt>
                <c:pt idx="49">
                  <c:v>786.17520286406102</c:v>
                </c:pt>
                <c:pt idx="50">
                  <c:v>824.86457691756948</c:v>
                </c:pt>
                <c:pt idx="51">
                  <c:v>863.89971574223671</c:v>
                </c:pt>
                <c:pt idx="52">
                  <c:v>903.28224443248723</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-80.467785478824922</c:v>
                </c:pt>
                <c:pt idx="1">
                  <c:v>-309.61625123216027</c:v>
                </c:pt>
                <c:pt idx="2">
                  <c:v>-448.21440663510583</c:v>
                </c:pt>
                <c:pt idx="3">
                  <c:v>-427.42716982178604</c:v>
                </c:pt>
                <c:pt idx="4">
                  <c:v>-406.36837444472201</c:v>
                </c:pt>
                <c:pt idx="5">
                  <c:v>-385.03674417866409</c:v>
                </c:pt>
                <c:pt idx="6">
                  <c:v>-363.43099669963402</c:v>
                </c:pt>
                <c:pt idx="7">
                  <c:v>-341.54984365673084</c:v>
                </c:pt>
                <c:pt idx="8">
                  <c:v>-319.39199064380432</c:v>
                </c:pt>
                <c:pt idx="9">
                  <c:v>-296.95613717099536</c:v>
                </c:pt>
                <c:pt idx="10">
                  <c:v>-274.24097663614253</c:v>
                </c:pt>
                <c:pt idx="11">
                  <c:v>-251.24519629605422</c:v>
                </c:pt>
                <c:pt idx="12">
                  <c:v>-227.96747723764582</c:v>
                </c:pt>
                <c:pt idx="13">
                  <c:v>-204.40649434894124</c:v>
                </c:pt>
                <c:pt idx="14">
                  <c:v>-180.56091628993806</c:v>
                </c:pt>
                <c:pt idx="15">
                  <c:v>-156.42940546333591</c:v>
                </c:pt>
                <c:pt idx="16">
                  <c:v>-132.01061798512706</c:v>
                </c:pt>
                <c:pt idx="17">
                  <c:v>-107.30320365504893</c:v>
                </c:pt>
                <c:pt idx="18">
                  <c:v>-82.305805926897776</c:v>
                </c:pt>
                <c:pt idx="19">
                  <c:v>-57.017061878702641</c:v>
                </c:pt>
                <c:pt idx="20">
                  <c:v>-31.435602182759311</c:v>
                </c:pt>
                <c:pt idx="21">
                  <c:v>-5.5600510755233721</c:v>
                </c:pt>
                <c:pt idx="22">
                  <c:v>20.610973672638252</c:v>
                </c:pt>
                <c:pt idx="23">
                  <c:v>47.078860787837911</c:v>
                </c:pt>
                <c:pt idx="24">
                  <c:v>73.845005523200669</c:v>
                </c:pt>
                <c:pt idx="25">
                  <c:v>100.91080968954131</c:v>
                </c:pt>
                <c:pt idx="26">
                  <c:v>128.27768168618545</c:v>
                </c:pt>
                <c:pt idx="27">
                  <c:v>155.94703653193545</c:v>
                </c:pt>
                <c:pt idx="28">
                  <c:v>183.92029589618218</c:v>
                </c:pt>
                <c:pt idx="29">
                  <c:v>212.19888813016252</c:v>
                </c:pt>
                <c:pt idx="30">
                  <c:v>240.78424829836425</c:v>
                </c:pt>
                <c:pt idx="31">
                  <c:v>269.67781821007821</c:v>
                </c:pt>
                <c:pt idx="32">
                  <c:v>298.88104645109888</c:v>
                </c:pt>
                <c:pt idx="33">
                  <c:v>328.39538841557408</c:v>
                </c:pt>
                <c:pt idx="34">
                  <c:v>358.22230633800393</c:v>
                </c:pt>
                <c:pt idx="35">
                  <c:v>388.36326932539089</c:v>
                </c:pt>
                <c:pt idx="36">
                  <c:v>418.81975338954027</c:v>
                </c:pt>
                <c:pt idx="37">
                  <c:v>449.59324147951281</c:v>
                </c:pt>
                <c:pt idx="38">
                  <c:v>480.6852235142299</c:v>
                </c:pt>
                <c:pt idx="39">
                  <c:v>512.09719641523179</c:v>
                </c:pt>
                <c:pt idx="40">
                  <c:v>543.83066413959011</c:v>
                </c:pt>
                <c:pt idx="41">
                  <c:v>575.88713771297455</c:v>
                </c:pt>
                <c:pt idx="42">
                  <c:v>608.2681352628756</c:v>
                </c:pt>
                <c:pt idx="43">
                  <c:v>640.97518205198287</c:v>
                </c:pt>
                <c:pt idx="44">
                  <c:v>674.00981051172062</c:v>
                </c:pt>
                <c:pt idx="45">
                  <c:v>707.3735602759408</c:v>
                </c:pt>
                <c:pt idx="46">
                  <c:v>741.06797821477448</c:v>
                </c:pt>
                <c:pt idx="47">
                  <c:v>775.09461846864235</c:v>
                </c:pt>
                <c:pt idx="48">
                  <c:v>809.45504248242514</c:v>
                </c:pt>
                <c:pt idx="49">
                  <c:v>844.15081903979433</c:v>
                </c:pt>
                <c:pt idx="50">
                  <c:v>879.18352429770482</c:v>
                </c:pt>
                <c:pt idx="51">
                  <c:v>914.55474182104922</c:v>
                </c:pt>
                <c:pt idx="52">
                  <c:v>950.26606261747497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39.318004528130281</c:v>
                </c:pt>
                <c:pt idx="1">
                  <c:v>29.333923064064173</c:v>
                </c:pt>
                <c:pt idx="2">
                  <c:v>37.278811994809871</c:v>
                </c:pt>
                <c:pt idx="3">
                  <c:v>13.806583306932474</c:v>
                </c:pt>
                <c:pt idx="4">
                  <c:v>-8.1446163614051486</c:v>
                </c:pt>
                <c:pt idx="5">
                  <c:v>-28.573404337729656</c:v>
                </c:pt>
                <c:pt idx="6">
                  <c:v>-47.478391451007056</c:v>
                </c:pt>
                <c:pt idx="7">
                  <c:v>-64.85818200109955</c:v>
                </c:pt>
                <c:pt idx="8">
                  <c:v>-80.711373728078598</c:v>
                </c:pt>
                <c:pt idx="9">
                  <c:v>-95.036557781394066</c:v>
                </c:pt>
                <c:pt idx="10">
                  <c:v>-107.83231868889827</c:v>
                </c:pt>
                <c:pt idx="11">
                  <c:v>-119.09723432572433</c:v>
                </c:pt>
                <c:pt idx="12">
                  <c:v>-128.82987588301856</c:v>
                </c:pt>
                <c:pt idx="13">
                  <c:v>-137.02880783652566</c:v>
                </c:pt>
                <c:pt idx="14">
                  <c:v>-143.69258791502631</c:v>
                </c:pt>
                <c:pt idx="15">
                  <c:v>-148.81976706862645</c:v>
                </c:pt>
                <c:pt idx="16">
                  <c:v>-152.40888943689754</c:v>
                </c:pt>
                <c:pt idx="17">
                  <c:v>-154.45849231686702</c:v>
                </c:pt>
                <c:pt idx="18">
                  <c:v>-154.96710613085835</c:v>
                </c:pt>
                <c:pt idx="19">
                  <c:v>-153.93325439417993</c:v>
                </c:pt>
                <c:pt idx="20">
                  <c:v>-151.3554536826621</c:v>
                </c:pt>
                <c:pt idx="21">
                  <c:v>-147.23221360004158</c:v>
                </c:pt>
                <c:pt idx="22">
                  <c:v>-141.5620367451927</c:v>
                </c:pt>
                <c:pt idx="23">
                  <c:v>-109.80655094097014</c:v>
                </c:pt>
                <c:pt idx="24">
                  <c:v>-77.727955802746067</c:v>
                </c:pt>
                <c:pt idx="25">
                  <c:v>-45.324732716650651</c:v>
                </c:pt>
                <c:pt idx="26">
                  <c:v>-12.595355931328939</c:v>
                </c:pt>
                <c:pt idx="27">
                  <c:v>20.461707475605465</c:v>
                </c:pt>
                <c:pt idx="28">
                  <c:v>53.847997631274119</c:v>
                </c:pt>
                <c:pt idx="29">
                  <c:v>87.565061901396092</c:v>
                </c:pt>
                <c:pt idx="30">
                  <c:v>121.61445492430931</c:v>
                </c:pt>
                <c:pt idx="31">
                  <c:v>155.99773864515191</c:v>
                </c:pt>
                <c:pt idx="32">
                  <c:v>190.71648235020416</c:v>
                </c:pt>
                <c:pt idx="33">
                  <c:v>225.77226270139181</c:v>
                </c:pt>
                <c:pt idx="34">
                  <c:v>261.16666377095174</c:v>
                </c:pt>
                <c:pt idx="35">
                  <c:v>296.90127707626027</c:v>
                </c:pt>
                <c:pt idx="36">
                  <c:v>332.97770161482543</c:v>
                </c:pt>
                <c:pt idx="37">
                  <c:v>369.39754389944352</c:v>
                </c:pt>
                <c:pt idx="38">
                  <c:v>406.16241799352099</c:v>
                </c:pt>
                <c:pt idx="39">
                  <c:v>443.27394554656229</c:v>
                </c:pt>
                <c:pt idx="40">
                  <c:v>480.73375582982453</c:v>
                </c:pt>
                <c:pt idx="41">
                  <c:v>518.54348577213977</c:v>
                </c:pt>
                <c:pt idx="42">
                  <c:v>556.7047799959056</c:v>
                </c:pt>
                <c:pt idx="43">
                  <c:v>595.21929085324484</c:v>
                </c:pt>
                <c:pt idx="44">
                  <c:v>634.08867846233522</c:v>
                </c:pt>
                <c:pt idx="45">
                  <c:v>673.31461074390995</c:v>
                </c:pt>
                <c:pt idx="46">
                  <c:v>712.89876345792982</c:v>
                </c:pt>
                <c:pt idx="47">
                  <c:v>752.84282024042727</c:v>
                </c:pt>
                <c:pt idx="48">
                  <c:v>793.14847264052412</c:v>
                </c:pt>
                <c:pt idx="49">
                  <c:v>833.81742015762313</c:v>
                </c:pt>
                <c:pt idx="50">
                  <c:v>874.8513702787742</c:v>
                </c:pt>
                <c:pt idx="51">
                  <c:v>916.25203851621632</c:v>
                </c:pt>
                <c:pt idx="52">
                  <c:v>958.02114844509606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1912.6000000000001</c:v>
                </c:pt>
                <c:pt idx="3">
                  <c:v>1971</c:v>
                </c:pt>
                <c:pt idx="4">
                  <c:v>0</c:v>
                </c:pt>
                <c:pt idx="5">
                  <c:v>671.6</c:v>
                </c:pt>
                <c:pt idx="6">
                  <c:v>175.20000000000002</c:v>
                </c:pt>
                <c:pt idx="7">
                  <c:v>0</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9285-45B4-8C29-160660E9C553}"/>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BFED-4EEA-B752-B43D210162F7}"/>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BFED-4EEA-B752-B43D210162F7}"/>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2402.2256000000002</c:v>
                </c:pt>
              </c:numCache>
            </c:numRef>
          </c:val>
          <c:extLst>
            <c:ext xmlns:c16="http://schemas.microsoft.com/office/drawing/2014/chart" uri="{C3380CC4-5D6E-409C-BE32-E72D297353CC}">
              <c16:uniqueId val="{00000002-BFED-4EEA-B752-B43D210162F7}"/>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808.11</c:v>
                </c:pt>
              </c:numCache>
            </c:numRef>
          </c:val>
          <c:extLst>
            <c:ext xmlns:c16="http://schemas.microsoft.com/office/drawing/2014/chart" uri="{C3380CC4-5D6E-409C-BE32-E72D297353CC}">
              <c16:uniqueId val="{00000003-BFED-4EEA-B752-B43D210162F7}"/>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BFED-4EEA-B752-B43D210162F7}"/>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42.982399999999998</c:v>
                </c:pt>
              </c:numCache>
            </c:numRef>
          </c:val>
          <c:extLst>
            <c:ext xmlns:c16="http://schemas.microsoft.com/office/drawing/2014/chart" uri="{C3380CC4-5D6E-409C-BE32-E72D297353CC}">
              <c16:uniqueId val="{00000005-BFED-4EEA-B752-B43D210162F7}"/>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122.1144</c:v>
                </c:pt>
              </c:numCache>
            </c:numRef>
          </c:val>
          <c:extLst>
            <c:ext xmlns:c16="http://schemas.microsoft.com/office/drawing/2014/chart" uri="{C3380CC4-5D6E-409C-BE32-E72D297353CC}">
              <c16:uniqueId val="{00000006-BFED-4EEA-B752-B43D210162F7}"/>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BFED-4EEA-B752-B43D210162F7}"/>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BFED-4EEA-B752-B43D210162F7}"/>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BFED-4EEA-B752-B43D210162F7}"/>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BFED-4EEA-B752-B43D210162F7}"/>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-2960.7048000000004</c:v>
                </c:pt>
              </c:numCache>
            </c:numRef>
          </c:val>
          <c:extLst>
            <c:ext xmlns:c16="http://schemas.microsoft.com/office/drawing/2014/chart" uri="{C3380CC4-5D6E-409C-BE32-E72D297353CC}">
              <c16:uniqueId val="{0000000B-BFED-4EEA-B752-B43D210162F7}"/>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-3764.2157999999999</c:v>
                </c:pt>
              </c:numCache>
            </c:numRef>
          </c:val>
          <c:extLst>
            <c:ext xmlns:c16="http://schemas.microsoft.com/office/drawing/2014/chart" uri="{C3380CC4-5D6E-409C-BE32-E72D297353CC}">
              <c16:uniqueId val="{0000000C-BFED-4EEA-B752-B43D210162F7}"/>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BFED-4EEA-B752-B43D210162F7}"/>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-1149.7791999999999</c:v>
                </c:pt>
              </c:numCache>
            </c:numRef>
          </c:val>
          <c:extLst>
            <c:ext xmlns:c16="http://schemas.microsoft.com/office/drawing/2014/chart" uri="{C3380CC4-5D6E-409C-BE32-E72D297353CC}">
              <c16:uniqueId val="{0000000E-BFED-4EEA-B752-B43D210162F7}"/>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-1730.9760000000003</c:v>
                </c:pt>
              </c:numCache>
            </c:numRef>
          </c:val>
          <c:extLst>
            <c:ext xmlns:c16="http://schemas.microsoft.com/office/drawing/2014/chart" uri="{C3380CC4-5D6E-409C-BE32-E72D297353CC}">
              <c16:uniqueId val="{0000000F-BFED-4EEA-B752-B43D210162F7}"/>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BFED-4EEA-B752-B43D210162F7}"/>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BFED-4EEA-B752-B43D210162F7}"/>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-6230.2434000000012</c:v>
                </c:pt>
              </c:numCache>
            </c:numRef>
          </c:val>
          <c:extLst>
            <c:ext xmlns:c16="http://schemas.microsoft.com/office/drawing/2014/chart" uri="{C3380CC4-5D6E-409C-BE32-E72D297353CC}">
              <c16:uniqueId val="{00000012-BFED-4EEA-B752-B43D210162F7}"/>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657A-4195-8243-66BB2130B821}"/>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657A-4195-8243-66BB2130B821}"/>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657A-4195-8243-66BB2130B821}"/>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657A-4195-8243-66BB2130B821}"/>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167352.43851908133</c:v>
                </c:pt>
              </c:numCache>
            </c:numRef>
          </c:val>
          <c:extLst>
            <c:ext xmlns:c16="http://schemas.microsoft.com/office/drawing/2014/chart" uri="{C3380CC4-5D6E-409C-BE32-E72D297353CC}">
              <c16:uniqueId val="{00000004-657A-4195-8243-66BB2130B821}"/>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657A-4195-8243-66BB2130B821}"/>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657A-4195-8243-66BB2130B821}"/>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657A-4195-8243-66BB2130B821}"/>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657A-4195-8243-66BB2130B821}"/>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657A-4195-8243-66BB2130B821}"/>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657A-4195-8243-66BB2130B821}"/>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657A-4195-8243-66BB2130B821}"/>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657A-4195-8243-66BB2130B821}"/>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657A-4195-8243-66BB2130B821}"/>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657A-4195-8243-66BB2130B821}"/>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657A-4195-8243-66BB2130B821}"/>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657A-4195-8243-66BB2130B821}"/>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657A-4195-8243-66BB2130B821}"/>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657A-4195-8243-66BB2130B821}"/>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657A-4195-8243-66BB2130B821}"/>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657A-4195-8243-66BB2130B821}"/>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657A-4195-8243-66BB2130B821}"/>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167352.43851908133</c:v>
                </c:pt>
              </c:numCache>
            </c:numRef>
          </c:val>
          <c:extLst>
            <c:ext xmlns:c16="http://schemas.microsoft.com/office/drawing/2014/chart" uri="{C3380CC4-5D6E-409C-BE32-E72D297353CC}">
              <c16:uniqueId val="{00000016-657A-4195-8243-66BB2130B821}"/>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3375.4324000000001</c:v>
                </c:pt>
                <c:pt idx="1">
                  <c:v>167352.43851908133</c:v>
                </c:pt>
                <c:pt idx="2">
                  <c:v>170727.87091908132</c:v>
                </c:pt>
              </c:numCache>
            </c:numRef>
          </c:val>
          <c:extLst>
            <c:ext xmlns:c16="http://schemas.microsoft.com/office/drawing/2014/chart" uri="{C3380CC4-5D6E-409C-BE32-E72D297353CC}">
              <c16:uniqueId val="{00000000-E0D6-4C81-8C75-9780A05477F6}"/>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-9605.6758000000009</c:v>
                </c:pt>
                <c:pt idx="1">
                  <c:v>0</c:v>
                </c:pt>
                <c:pt idx="2">
                  <c:v>-9605.6758000000009</c:v>
                </c:pt>
              </c:numCache>
            </c:numRef>
          </c:val>
          <c:extLst>
            <c:ext xmlns:c16="http://schemas.microsoft.com/office/drawing/2014/chart" uri="{C3380CC4-5D6E-409C-BE32-E72D297353CC}">
              <c16:uniqueId val="{00000001-E0D6-4C81-8C75-9780A05477F6}"/>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-6230.2434000000012</c:v>
                </c:pt>
                <c:pt idx="1">
                  <c:v>167352.43851908133</c:v>
                </c:pt>
                <c:pt idx="2">
                  <c:v>161122.19511908133</c:v>
                </c:pt>
              </c:numCache>
            </c:numRef>
          </c:val>
          <c:extLst>
            <c:ext xmlns:c16="http://schemas.microsoft.com/office/drawing/2014/chart" uri="{C3380CC4-5D6E-409C-BE32-E72D297353CC}">
              <c16:uniqueId val="{00000002-E0D6-4C81-8C75-9780A05477F6}"/>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9B8F-4D9C-A28F-6C86396AFDB1}"/>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0EB2-40BB-BDAB-81B7585D7FCF}"/>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0EB2-40BB-BDAB-81B7585D7FCF}"/>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7999.4112480000003</c:v>
                </c:pt>
              </c:numCache>
            </c:numRef>
          </c:val>
          <c:extLst>
            <c:ext xmlns:c16="http://schemas.microsoft.com/office/drawing/2014/chart" uri="{C3380CC4-5D6E-409C-BE32-E72D297353CC}">
              <c16:uniqueId val="{00000002-0EB2-40BB-BDAB-81B7585D7FCF}"/>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1777.8420000000001</c:v>
                </c:pt>
              </c:numCache>
            </c:numRef>
          </c:val>
          <c:extLst>
            <c:ext xmlns:c16="http://schemas.microsoft.com/office/drawing/2014/chart" uri="{C3380CC4-5D6E-409C-BE32-E72D297353CC}">
              <c16:uniqueId val="{00000003-0EB2-40BB-BDAB-81B7585D7FCF}"/>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0EB2-40BB-BDAB-81B7585D7FCF}"/>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204.16639999999998</c:v>
                </c:pt>
              </c:numCache>
            </c:numRef>
          </c:val>
          <c:extLst>
            <c:ext xmlns:c16="http://schemas.microsoft.com/office/drawing/2014/chart" uri="{C3380CC4-5D6E-409C-BE32-E72D297353CC}">
              <c16:uniqueId val="{00000005-0EB2-40BB-BDAB-81B7585D7FCF}"/>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580.04339999999991</c:v>
                </c:pt>
              </c:numCache>
            </c:numRef>
          </c:val>
          <c:extLst>
            <c:ext xmlns:c16="http://schemas.microsoft.com/office/drawing/2014/chart" uri="{C3380CC4-5D6E-409C-BE32-E72D297353CC}">
              <c16:uniqueId val="{00000006-0EB2-40BB-BDAB-81B7585D7FCF}"/>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0EB2-40BB-BDAB-81B7585D7FCF}"/>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0EB2-40BB-BDAB-81B7585D7FCF}"/>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0EB2-40BB-BDAB-81B7585D7FCF}"/>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0EB2-40BB-BDAB-81B7585D7FCF}"/>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-9859.1469840000009</c:v>
                </c:pt>
              </c:numCache>
            </c:numRef>
          </c:val>
          <c:extLst>
            <c:ext xmlns:c16="http://schemas.microsoft.com/office/drawing/2014/chart" uri="{C3380CC4-5D6E-409C-BE32-E72D297353CC}">
              <c16:uniqueId val="{0000000B-0EB2-40BB-BDAB-81B7585D7FCF}"/>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-8281.2747600000002</c:v>
                </c:pt>
              </c:numCache>
            </c:numRef>
          </c:val>
          <c:extLst>
            <c:ext xmlns:c16="http://schemas.microsoft.com/office/drawing/2014/chart" uri="{C3380CC4-5D6E-409C-BE32-E72D297353CC}">
              <c16:uniqueId val="{0000000C-0EB2-40BB-BDAB-81B7585D7FCF}"/>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0EB2-40BB-BDAB-81B7585D7FCF}"/>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-5461.4512000000004</c:v>
                </c:pt>
              </c:numCache>
            </c:numRef>
          </c:val>
          <c:extLst>
            <c:ext xmlns:c16="http://schemas.microsoft.com/office/drawing/2014/chart" uri="{C3380CC4-5D6E-409C-BE32-E72D297353CC}">
              <c16:uniqueId val="{0000000E-0EB2-40BB-BDAB-81B7585D7FCF}"/>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-8222.1359999999986</c:v>
                </c:pt>
              </c:numCache>
            </c:numRef>
          </c:val>
          <c:extLst>
            <c:ext xmlns:c16="http://schemas.microsoft.com/office/drawing/2014/chart" uri="{C3380CC4-5D6E-409C-BE32-E72D297353CC}">
              <c16:uniqueId val="{0000000F-0EB2-40BB-BDAB-81B7585D7FCF}"/>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0EB2-40BB-BDAB-81B7585D7FCF}"/>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0EB2-40BB-BDAB-81B7585D7FCF}"/>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-21262.545896</c:v>
                </c:pt>
              </c:numCache>
            </c:numRef>
          </c:val>
          <c:extLst>
            <c:ext xmlns:c16="http://schemas.microsoft.com/office/drawing/2014/chart" uri="{C3380CC4-5D6E-409C-BE32-E72D297353CC}">
              <c16:uniqueId val="{00000012-0EB2-40BB-BDAB-81B7585D7FCF}"/>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1229-4728-A542-93385653F081}"/>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1229-4728-A542-93385653F081}"/>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1229-4728-A542-93385653F081}"/>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1229-4728-A542-93385653F081}"/>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53980.946707938478</c:v>
                </c:pt>
              </c:numCache>
            </c:numRef>
          </c:val>
          <c:extLst>
            <c:ext xmlns:c16="http://schemas.microsoft.com/office/drawing/2014/chart" uri="{C3380CC4-5D6E-409C-BE32-E72D297353CC}">
              <c16:uniqueId val="{00000004-1229-4728-A542-93385653F081}"/>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1229-4728-A542-93385653F081}"/>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9878.871077030024</c:v>
                </c:pt>
              </c:numCache>
            </c:numRef>
          </c:val>
          <c:extLst>
            <c:ext xmlns:c16="http://schemas.microsoft.com/office/drawing/2014/chart" uri="{C3380CC4-5D6E-409C-BE32-E72D297353CC}">
              <c16:uniqueId val="{00000006-1229-4728-A542-93385653F081}"/>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7289.5189941719445</c:v>
                </c:pt>
              </c:numCache>
            </c:numRef>
          </c:val>
          <c:extLst>
            <c:ext xmlns:c16="http://schemas.microsoft.com/office/drawing/2014/chart" uri="{C3380CC4-5D6E-409C-BE32-E72D297353CC}">
              <c16:uniqueId val="{00000007-1229-4728-A542-93385653F081}"/>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1229-4728-A542-93385653F081}"/>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1229-4728-A542-93385653F081}"/>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1229-4728-A542-93385653F081}"/>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1229-4728-A542-93385653F081}"/>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1229-4728-A542-93385653F081}"/>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1229-4728-A542-93385653F081}"/>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1229-4728-A542-93385653F081}"/>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1229-4728-A542-93385653F081}"/>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1229-4728-A542-93385653F081}"/>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-8213.3557915298534</c:v>
                </c:pt>
              </c:numCache>
            </c:numRef>
          </c:val>
          <c:extLst>
            <c:ext xmlns:c16="http://schemas.microsoft.com/office/drawing/2014/chart" uri="{C3380CC4-5D6E-409C-BE32-E72D297353CC}">
              <c16:uniqueId val="{00000011-1229-4728-A542-93385653F081}"/>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-34946.287241831815</c:v>
                </c:pt>
              </c:numCache>
            </c:numRef>
          </c:val>
          <c:extLst>
            <c:ext xmlns:c16="http://schemas.microsoft.com/office/drawing/2014/chart" uri="{C3380CC4-5D6E-409C-BE32-E72D297353CC}">
              <c16:uniqueId val="{00000012-1229-4728-A542-93385653F081}"/>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1229-4728-A542-93385653F081}"/>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1229-4728-A542-93385653F081}"/>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1229-4728-A542-93385653F081}"/>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27989.693745778779</c:v>
                </c:pt>
              </c:numCache>
            </c:numRef>
          </c:val>
          <c:extLst>
            <c:ext xmlns:c16="http://schemas.microsoft.com/office/drawing/2014/chart" uri="{C3380CC4-5D6E-409C-BE32-E72D297353CC}">
              <c16:uniqueId val="{00000016-1229-4728-A542-93385653F081}"/>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F382-41E9-8440-E70EBEF2DC16}"/>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-31824.008943999997</c:v>
                </c:pt>
                <c:pt idx="1">
                  <c:v>-43159.643033361666</c:v>
                </c:pt>
                <c:pt idx="2">
                  <c:v>-74983.65197736166</c:v>
                </c:pt>
              </c:numCache>
            </c:numRef>
          </c:val>
          <c:extLst>
            <c:ext xmlns:c16="http://schemas.microsoft.com/office/drawing/2014/chart" uri="{C3380CC4-5D6E-409C-BE32-E72D297353CC}">
              <c16:uniqueId val="{00000001-F382-41E9-8440-E70EBEF2DC16}"/>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-21262.545895999996</c:v>
                </c:pt>
                <c:pt idx="1">
                  <c:v>27989.693745778779</c:v>
                </c:pt>
                <c:pt idx="2">
                  <c:v>6727.147849778783</c:v>
                </c:pt>
              </c:numCache>
            </c:numRef>
          </c:val>
          <c:extLst>
            <c:ext xmlns:c16="http://schemas.microsoft.com/office/drawing/2014/chart" uri="{C3380CC4-5D6E-409C-BE32-E72D297353CC}">
              <c16:uniqueId val="{00000002-F382-41E9-8440-E70EBEF2DC16}"/>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19D3-48FF-8D86-279CD98CDA72}"/>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514A-4236-A38E-F397BA10BE92}"/>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514A-4236-A38E-F397BA10BE92}"/>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7999.4112480000003</c:v>
                </c:pt>
              </c:numCache>
            </c:numRef>
          </c:val>
          <c:extLst>
            <c:ext xmlns:c16="http://schemas.microsoft.com/office/drawing/2014/chart" uri="{C3380CC4-5D6E-409C-BE32-E72D297353CC}">
              <c16:uniqueId val="{00000002-514A-4236-A38E-F397BA10BE92}"/>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1777.8420000000001</c:v>
                </c:pt>
              </c:numCache>
            </c:numRef>
          </c:val>
          <c:extLst>
            <c:ext xmlns:c16="http://schemas.microsoft.com/office/drawing/2014/chart" uri="{C3380CC4-5D6E-409C-BE32-E72D297353CC}">
              <c16:uniqueId val="{00000003-514A-4236-A38E-F397BA10BE92}"/>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514A-4236-A38E-F397BA10BE92}"/>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204.16639999999998</c:v>
                </c:pt>
              </c:numCache>
            </c:numRef>
          </c:val>
          <c:extLst>
            <c:ext xmlns:c16="http://schemas.microsoft.com/office/drawing/2014/chart" uri="{C3380CC4-5D6E-409C-BE32-E72D297353CC}">
              <c16:uniqueId val="{00000005-514A-4236-A38E-F397BA10BE92}"/>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580.04339999999991</c:v>
                </c:pt>
              </c:numCache>
            </c:numRef>
          </c:val>
          <c:extLst>
            <c:ext xmlns:c16="http://schemas.microsoft.com/office/drawing/2014/chart" uri="{C3380CC4-5D6E-409C-BE32-E72D297353CC}">
              <c16:uniqueId val="{00000006-514A-4236-A38E-F397BA10BE92}"/>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514A-4236-A38E-F397BA10BE92}"/>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514A-4236-A38E-F397BA10BE92}"/>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514A-4236-A38E-F397BA10BE92}"/>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514A-4236-A38E-F397BA10BE92}"/>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-9859.1469840000009</c:v>
                </c:pt>
              </c:numCache>
            </c:numRef>
          </c:val>
          <c:extLst>
            <c:ext xmlns:c16="http://schemas.microsoft.com/office/drawing/2014/chart" uri="{C3380CC4-5D6E-409C-BE32-E72D297353CC}">
              <c16:uniqueId val="{0000000B-514A-4236-A38E-F397BA10BE92}"/>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-8281.2747600000002</c:v>
                </c:pt>
              </c:numCache>
            </c:numRef>
          </c:val>
          <c:extLst>
            <c:ext xmlns:c16="http://schemas.microsoft.com/office/drawing/2014/chart" uri="{C3380CC4-5D6E-409C-BE32-E72D297353CC}">
              <c16:uniqueId val="{0000000C-514A-4236-A38E-F397BA10BE92}"/>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514A-4236-A38E-F397BA10BE92}"/>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-5461.4512000000004</c:v>
                </c:pt>
              </c:numCache>
            </c:numRef>
          </c:val>
          <c:extLst>
            <c:ext xmlns:c16="http://schemas.microsoft.com/office/drawing/2014/chart" uri="{C3380CC4-5D6E-409C-BE32-E72D297353CC}">
              <c16:uniqueId val="{0000000E-514A-4236-A38E-F397BA10BE92}"/>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-8222.1359999999986</c:v>
                </c:pt>
              </c:numCache>
            </c:numRef>
          </c:val>
          <c:extLst>
            <c:ext xmlns:c16="http://schemas.microsoft.com/office/drawing/2014/chart" uri="{C3380CC4-5D6E-409C-BE32-E72D297353CC}">
              <c16:uniqueId val="{0000000F-514A-4236-A38E-F397BA10BE92}"/>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514A-4236-A38E-F397BA10BE92}"/>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514A-4236-A38E-F397BA10BE92}"/>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-21262.545896</c:v>
                </c:pt>
              </c:numCache>
            </c:numRef>
          </c:val>
          <c:extLst>
            <c:ext xmlns:c16="http://schemas.microsoft.com/office/drawing/2014/chart" uri="{C3380CC4-5D6E-409C-BE32-E72D297353CC}">
              <c16:uniqueId val="{00000012-514A-4236-A38E-F397BA10BE92}"/>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B351-4987-88F0-08A0DD2D8949}"/>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B351-4987-88F0-08A0DD2D8949}"/>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B351-4987-88F0-08A0DD2D8949}"/>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B351-4987-88F0-08A0DD2D8949}"/>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53980.946707938478</c:v>
                </c:pt>
              </c:numCache>
            </c:numRef>
          </c:val>
          <c:extLst>
            <c:ext xmlns:c16="http://schemas.microsoft.com/office/drawing/2014/chart" uri="{C3380CC4-5D6E-409C-BE32-E72D297353CC}">
              <c16:uniqueId val="{00000004-B351-4987-88F0-08A0DD2D8949}"/>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B351-4987-88F0-08A0DD2D8949}"/>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9878.871077030024</c:v>
                </c:pt>
              </c:numCache>
            </c:numRef>
          </c:val>
          <c:extLst>
            <c:ext xmlns:c16="http://schemas.microsoft.com/office/drawing/2014/chart" uri="{C3380CC4-5D6E-409C-BE32-E72D297353CC}">
              <c16:uniqueId val="{00000006-B351-4987-88F0-08A0DD2D8949}"/>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7289.5189941719445</c:v>
                </c:pt>
              </c:numCache>
            </c:numRef>
          </c:val>
          <c:extLst>
            <c:ext xmlns:c16="http://schemas.microsoft.com/office/drawing/2014/chart" uri="{C3380CC4-5D6E-409C-BE32-E72D297353CC}">
              <c16:uniqueId val="{00000007-B351-4987-88F0-08A0DD2D8949}"/>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B351-4987-88F0-08A0DD2D8949}"/>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B351-4987-88F0-08A0DD2D8949}"/>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B351-4987-88F0-08A0DD2D8949}"/>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B351-4987-88F0-08A0DD2D8949}"/>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B351-4987-88F0-08A0DD2D8949}"/>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B351-4987-88F0-08A0DD2D8949}"/>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B351-4987-88F0-08A0DD2D8949}"/>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B351-4987-88F0-08A0DD2D8949}"/>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B351-4987-88F0-08A0DD2D8949}"/>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-8213.3557915298534</c:v>
                </c:pt>
              </c:numCache>
            </c:numRef>
          </c:val>
          <c:extLst>
            <c:ext xmlns:c16="http://schemas.microsoft.com/office/drawing/2014/chart" uri="{C3380CC4-5D6E-409C-BE32-E72D297353CC}">
              <c16:uniqueId val="{00000011-B351-4987-88F0-08A0DD2D8949}"/>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-41186.708432916232</c:v>
                </c:pt>
              </c:numCache>
            </c:numRef>
          </c:val>
          <c:extLst>
            <c:ext xmlns:c16="http://schemas.microsoft.com/office/drawing/2014/chart" uri="{C3380CC4-5D6E-409C-BE32-E72D297353CC}">
              <c16:uniqueId val="{00000012-B351-4987-88F0-08A0DD2D8949}"/>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B351-4987-88F0-08A0DD2D8949}"/>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B351-4987-88F0-08A0DD2D8949}"/>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B351-4987-88F0-08A0DD2D8949}"/>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21749.272554694362</c:v>
                </c:pt>
              </c:numCache>
            </c:numRef>
          </c:val>
          <c:extLst>
            <c:ext xmlns:c16="http://schemas.microsoft.com/office/drawing/2014/chart" uri="{C3380CC4-5D6E-409C-BE32-E72D297353CC}">
              <c16:uniqueId val="{00000016-B351-4987-88F0-08A0DD2D8949}"/>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C0F8-470C-87F0-3881AA541DC4}"/>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-31824.008943999997</c:v>
                </c:pt>
                <c:pt idx="1">
                  <c:v>-49400.064224446083</c:v>
                </c:pt>
                <c:pt idx="2">
                  <c:v>-81224.073168446077</c:v>
                </c:pt>
              </c:numCache>
            </c:numRef>
          </c:val>
          <c:extLst>
            <c:ext xmlns:c16="http://schemas.microsoft.com/office/drawing/2014/chart" uri="{C3380CC4-5D6E-409C-BE32-E72D297353CC}">
              <c16:uniqueId val="{00000001-C0F8-470C-87F0-3881AA541DC4}"/>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-21262.545895999996</c:v>
                </c:pt>
                <c:pt idx="1">
                  <c:v>21749.272554694362</c:v>
                </c:pt>
                <c:pt idx="2">
                  <c:v>486.72665869436605</c:v>
                </c:pt>
              </c:numCache>
            </c:numRef>
          </c:val>
          <c:extLst>
            <c:ext xmlns:c16="http://schemas.microsoft.com/office/drawing/2014/chart" uri="{C3380CC4-5D6E-409C-BE32-E72D297353CC}">
              <c16:uniqueId val="{00000002-C0F8-470C-87F0-3881AA541DC4}"/>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D871-4E1D-BD39-169422275365}"/>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4B6D-46C0-9535-F7E6BCC4DA6D}"/>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4B6D-46C0-9535-F7E6BCC4DA6D}"/>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7999.4112480000003</c:v>
                </c:pt>
              </c:numCache>
            </c:numRef>
          </c:val>
          <c:extLst>
            <c:ext xmlns:c16="http://schemas.microsoft.com/office/drawing/2014/chart" uri="{C3380CC4-5D6E-409C-BE32-E72D297353CC}">
              <c16:uniqueId val="{00000002-4B6D-46C0-9535-F7E6BCC4DA6D}"/>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1777.8420000000001</c:v>
                </c:pt>
              </c:numCache>
            </c:numRef>
          </c:val>
          <c:extLst>
            <c:ext xmlns:c16="http://schemas.microsoft.com/office/drawing/2014/chart" uri="{C3380CC4-5D6E-409C-BE32-E72D297353CC}">
              <c16:uniqueId val="{00000003-4B6D-46C0-9535-F7E6BCC4DA6D}"/>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4B6D-46C0-9535-F7E6BCC4DA6D}"/>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204.16639999999998</c:v>
                </c:pt>
              </c:numCache>
            </c:numRef>
          </c:val>
          <c:extLst>
            <c:ext xmlns:c16="http://schemas.microsoft.com/office/drawing/2014/chart" uri="{C3380CC4-5D6E-409C-BE32-E72D297353CC}">
              <c16:uniqueId val="{00000005-4B6D-46C0-9535-F7E6BCC4DA6D}"/>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580.04339999999991</c:v>
                </c:pt>
              </c:numCache>
            </c:numRef>
          </c:val>
          <c:extLst>
            <c:ext xmlns:c16="http://schemas.microsoft.com/office/drawing/2014/chart" uri="{C3380CC4-5D6E-409C-BE32-E72D297353CC}">
              <c16:uniqueId val="{00000006-4B6D-46C0-9535-F7E6BCC4DA6D}"/>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4B6D-46C0-9535-F7E6BCC4DA6D}"/>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4B6D-46C0-9535-F7E6BCC4DA6D}"/>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4B6D-46C0-9535-F7E6BCC4DA6D}"/>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4B6D-46C0-9535-F7E6BCC4DA6D}"/>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-9859.1469840000009</c:v>
                </c:pt>
              </c:numCache>
            </c:numRef>
          </c:val>
          <c:extLst>
            <c:ext xmlns:c16="http://schemas.microsoft.com/office/drawing/2014/chart" uri="{C3380CC4-5D6E-409C-BE32-E72D297353CC}">
              <c16:uniqueId val="{0000000B-4B6D-46C0-9535-F7E6BCC4DA6D}"/>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-8281.2747600000002</c:v>
                </c:pt>
              </c:numCache>
            </c:numRef>
          </c:val>
          <c:extLst>
            <c:ext xmlns:c16="http://schemas.microsoft.com/office/drawing/2014/chart" uri="{C3380CC4-5D6E-409C-BE32-E72D297353CC}">
              <c16:uniqueId val="{0000000C-4B6D-46C0-9535-F7E6BCC4DA6D}"/>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4B6D-46C0-9535-F7E6BCC4DA6D}"/>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-5461.4512000000004</c:v>
                </c:pt>
              </c:numCache>
            </c:numRef>
          </c:val>
          <c:extLst>
            <c:ext xmlns:c16="http://schemas.microsoft.com/office/drawing/2014/chart" uri="{C3380CC4-5D6E-409C-BE32-E72D297353CC}">
              <c16:uniqueId val="{0000000E-4B6D-46C0-9535-F7E6BCC4DA6D}"/>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-8222.1359999999986</c:v>
                </c:pt>
              </c:numCache>
            </c:numRef>
          </c:val>
          <c:extLst>
            <c:ext xmlns:c16="http://schemas.microsoft.com/office/drawing/2014/chart" uri="{C3380CC4-5D6E-409C-BE32-E72D297353CC}">
              <c16:uniqueId val="{0000000F-4B6D-46C0-9535-F7E6BCC4DA6D}"/>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4B6D-46C0-9535-F7E6BCC4DA6D}"/>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4B6D-46C0-9535-F7E6BCC4DA6D}"/>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-21262.545896</c:v>
                </c:pt>
              </c:numCache>
            </c:numRef>
          </c:val>
          <c:extLst>
            <c:ext xmlns:c16="http://schemas.microsoft.com/office/drawing/2014/chart" uri="{C3380CC4-5D6E-409C-BE32-E72D297353CC}">
              <c16:uniqueId val="{00000012-4B6D-46C0-9535-F7E6BCC4DA6D}"/>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314A-418E-8EDA-C4BE62060761}"/>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314A-418E-8EDA-C4BE62060761}"/>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314A-418E-8EDA-C4BE62060761}"/>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314A-418E-8EDA-C4BE62060761}"/>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53980.946707938478</c:v>
                </c:pt>
              </c:numCache>
            </c:numRef>
          </c:val>
          <c:extLst>
            <c:ext xmlns:c16="http://schemas.microsoft.com/office/drawing/2014/chart" uri="{C3380CC4-5D6E-409C-BE32-E72D297353CC}">
              <c16:uniqueId val="{00000004-314A-418E-8EDA-C4BE62060761}"/>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314A-418E-8EDA-C4BE62060761}"/>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9878.871077030024</c:v>
                </c:pt>
              </c:numCache>
            </c:numRef>
          </c:val>
          <c:extLst>
            <c:ext xmlns:c16="http://schemas.microsoft.com/office/drawing/2014/chart" uri="{C3380CC4-5D6E-409C-BE32-E72D297353CC}">
              <c16:uniqueId val="{00000006-314A-418E-8EDA-C4BE62060761}"/>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6937.3741446002377</c:v>
                </c:pt>
              </c:numCache>
            </c:numRef>
          </c:val>
          <c:extLst>
            <c:ext xmlns:c16="http://schemas.microsoft.com/office/drawing/2014/chart" uri="{C3380CC4-5D6E-409C-BE32-E72D297353CC}">
              <c16:uniqueId val="{00000007-314A-418E-8EDA-C4BE62060761}"/>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314A-418E-8EDA-C4BE62060761}"/>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314A-418E-8EDA-C4BE62060761}"/>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314A-418E-8EDA-C4BE62060761}"/>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314A-418E-8EDA-C4BE62060761}"/>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314A-418E-8EDA-C4BE62060761}"/>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314A-418E-8EDA-C4BE62060761}"/>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314A-418E-8EDA-C4BE62060761}"/>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314A-418E-8EDA-C4BE62060761}"/>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314A-418E-8EDA-C4BE62060761}"/>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-8213.3557915298534</c:v>
                </c:pt>
              </c:numCache>
            </c:numRef>
          </c:val>
          <c:extLst>
            <c:ext xmlns:c16="http://schemas.microsoft.com/office/drawing/2014/chart" uri="{C3380CC4-5D6E-409C-BE32-E72D297353CC}">
              <c16:uniqueId val="{00000011-314A-418E-8EDA-C4BE62060761}"/>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-34496.094324425387</c:v>
                </c:pt>
              </c:numCache>
            </c:numRef>
          </c:val>
          <c:extLst>
            <c:ext xmlns:c16="http://schemas.microsoft.com/office/drawing/2014/chart" uri="{C3380CC4-5D6E-409C-BE32-E72D297353CC}">
              <c16:uniqueId val="{00000012-314A-418E-8EDA-C4BE62060761}"/>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314A-418E-8EDA-C4BE62060761}"/>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314A-418E-8EDA-C4BE62060761}"/>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314A-418E-8EDA-C4BE62060761}"/>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28087.741813613502</c:v>
                </c:pt>
              </c:numCache>
            </c:numRef>
          </c:val>
          <c:extLst>
            <c:ext xmlns:c16="http://schemas.microsoft.com/office/drawing/2014/chart" uri="{C3380CC4-5D6E-409C-BE32-E72D297353CC}">
              <c16:uniqueId val="{00000016-314A-418E-8EDA-C4BE62060761}"/>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10561.463048000001</c:v>
                </c:pt>
                <c:pt idx="1">
                  <c:v>70797.19192956874</c:v>
                </c:pt>
                <c:pt idx="2">
                  <c:v>81358.654977568745</c:v>
                </c:pt>
              </c:numCache>
            </c:numRef>
          </c:val>
          <c:extLst>
            <c:ext xmlns:c16="http://schemas.microsoft.com/office/drawing/2014/chart" uri="{C3380CC4-5D6E-409C-BE32-E72D297353CC}">
              <c16:uniqueId val="{00000000-02CB-430E-A1B8-ED5F502D3B48}"/>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-31824.008943999997</c:v>
                </c:pt>
                <c:pt idx="1">
                  <c:v>-42709.450115955238</c:v>
                </c:pt>
                <c:pt idx="2">
                  <c:v>-74533.459059955232</c:v>
                </c:pt>
              </c:numCache>
            </c:numRef>
          </c:val>
          <c:extLst>
            <c:ext xmlns:c16="http://schemas.microsoft.com/office/drawing/2014/chart" uri="{C3380CC4-5D6E-409C-BE32-E72D297353CC}">
              <c16:uniqueId val="{00000001-02CB-430E-A1B8-ED5F502D3B48}"/>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-21262.545895999996</c:v>
                </c:pt>
                <c:pt idx="1">
                  <c:v>28087.741813613502</c:v>
                </c:pt>
                <c:pt idx="2">
                  <c:v>6825.195917613506</c:v>
                </c:pt>
              </c:numCache>
            </c:numRef>
          </c:val>
          <c:extLst>
            <c:ext xmlns:c16="http://schemas.microsoft.com/office/drawing/2014/chart" uri="{C3380CC4-5D6E-409C-BE32-E72D297353CC}">
              <c16:uniqueId val="{00000002-02CB-430E-A1B8-ED5F502D3B48}"/>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0-7BC1-42E7-9461-CC759374D72F}"/>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BE93-4556-A810-933A066F8D13}"/>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BE93-4556-A810-933A066F8D13}"/>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7999.4112480000003</c:v>
                </c:pt>
              </c:numCache>
            </c:numRef>
          </c:val>
          <c:extLst>
            <c:ext xmlns:c16="http://schemas.microsoft.com/office/drawing/2014/chart" uri="{C3380CC4-5D6E-409C-BE32-E72D297353CC}">
              <c16:uniqueId val="{00000002-BE93-4556-A810-933A066F8D13}"/>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1777.8420000000001</c:v>
                </c:pt>
              </c:numCache>
            </c:numRef>
          </c:val>
          <c:extLst>
            <c:ext xmlns:c16="http://schemas.microsoft.com/office/drawing/2014/chart" uri="{C3380CC4-5D6E-409C-BE32-E72D297353CC}">
              <c16:uniqueId val="{00000003-BE93-4556-A810-933A066F8D13}"/>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BE93-4556-A810-933A066F8D13}"/>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204.16639999999998</c:v>
                </c:pt>
              </c:numCache>
            </c:numRef>
          </c:val>
          <c:extLst>
            <c:ext xmlns:c16="http://schemas.microsoft.com/office/drawing/2014/chart" uri="{C3380CC4-5D6E-409C-BE32-E72D297353CC}">
              <c16:uniqueId val="{00000005-BE93-4556-A810-933A066F8D13}"/>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580.04339999999991</c:v>
                </c:pt>
              </c:numCache>
            </c:numRef>
          </c:val>
          <c:extLst>
            <c:ext xmlns:c16="http://schemas.microsoft.com/office/drawing/2014/chart" uri="{C3380CC4-5D6E-409C-BE32-E72D297353CC}">
              <c16:uniqueId val="{00000006-BE93-4556-A810-933A066F8D13}"/>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BE93-4556-A810-933A066F8D13}"/>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BE93-4556-A810-933A066F8D13}"/>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BE93-4556-A810-933A066F8D13}"/>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BE93-4556-A810-933A066F8D13}"/>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-9859.1469840000009</c:v>
                </c:pt>
              </c:numCache>
            </c:numRef>
          </c:val>
          <c:extLst>
            <c:ext xmlns:c16="http://schemas.microsoft.com/office/drawing/2014/chart" uri="{C3380CC4-5D6E-409C-BE32-E72D297353CC}">
              <c16:uniqueId val="{0000000B-BE93-4556-A810-933A066F8D13}"/>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-8281.2747600000002</c:v>
                </c:pt>
              </c:numCache>
            </c:numRef>
          </c:val>
          <c:extLst>
            <c:ext xmlns:c16="http://schemas.microsoft.com/office/drawing/2014/chart" uri="{C3380CC4-5D6E-409C-BE32-E72D297353CC}">
              <c16:uniqueId val="{0000000C-BE93-4556-A810-933A066F8D13}"/>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BE93-4556-A810-933A066F8D13}"/>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-5461.4512000000004</c:v>
                </c:pt>
              </c:numCache>
            </c:numRef>
          </c:val>
          <c:extLst>
            <c:ext xmlns:c16="http://schemas.microsoft.com/office/drawing/2014/chart" uri="{C3380CC4-5D6E-409C-BE32-E72D297353CC}">
              <c16:uniqueId val="{0000000E-BE93-4556-A810-933A066F8D13}"/>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-8222.1359999999986</c:v>
                </c:pt>
              </c:numCache>
            </c:numRef>
          </c:val>
          <c:extLst>
            <c:ext xmlns:c16="http://schemas.microsoft.com/office/drawing/2014/chart" uri="{C3380CC4-5D6E-409C-BE32-E72D297353CC}">
              <c16:uniqueId val="{0000000F-BE93-4556-A810-933A066F8D13}"/>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BE93-4556-A810-933A066F8D13}"/>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BE93-4556-A810-933A066F8D13}"/>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-21262.545896</c:v>
                </c:pt>
              </c:numCache>
            </c:numRef>
          </c:val>
          <c:extLst>
            <c:ext xmlns:c16="http://schemas.microsoft.com/office/drawing/2014/chart" uri="{C3380CC4-5D6E-409C-BE32-E72D297353CC}">
              <c16:uniqueId val="{00000012-BE93-4556-A810-933A066F8D13}"/>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5E36-41FC-B56B-5804D42171AF}"/>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5E36-41FC-B56B-5804D42171AF}"/>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5E36-41FC-B56B-5804D42171AF}"/>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5E36-41FC-B56B-5804D42171AF}"/>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57836.728615648368</c:v>
                </c:pt>
              </c:numCache>
            </c:numRef>
          </c:val>
          <c:extLst>
            <c:ext xmlns:c16="http://schemas.microsoft.com/office/drawing/2014/chart" uri="{C3380CC4-5D6E-409C-BE32-E72D297353CC}">
              <c16:uniqueId val="{00000004-5E36-41FC-B56B-5804D42171AF}"/>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2893.2878483493746</c:v>
                </c:pt>
              </c:numCache>
            </c:numRef>
          </c:val>
          <c:extLst>
            <c:ext xmlns:c16="http://schemas.microsoft.com/office/drawing/2014/chart" uri="{C3380CC4-5D6E-409C-BE32-E72D297353CC}">
              <c16:uniqueId val="{00000005-5E36-41FC-B56B-5804D42171AF}"/>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5E36-41FC-B56B-5804D42171AF}"/>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5E36-41FC-B56B-5804D42171AF}"/>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5E36-41FC-B56B-5804D42171AF}"/>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5E36-41FC-B56B-5804D42171AF}"/>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5E36-41FC-B56B-5804D42171AF}"/>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5E36-41FC-B56B-5804D42171AF}"/>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5E36-41FC-B56B-5804D42171AF}"/>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5E36-41FC-B56B-5804D42171AF}"/>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5E36-41FC-B56B-5804D42171AF}"/>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5E36-41FC-B56B-5804D42171AF}"/>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5E36-41FC-B56B-5804D42171AF}"/>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5E36-41FC-B56B-5804D42171AF}"/>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5E36-41FC-B56B-5804D42171AF}"/>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5E36-41FC-B56B-5804D42171AF}"/>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5E36-41FC-B56B-5804D42171AF}"/>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5E36-41FC-B56B-5804D42171AF}"/>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60730.016463997745</c:v>
                </c:pt>
              </c:numCache>
            </c:numRef>
          </c:val>
          <c:extLst>
            <c:ext xmlns:c16="http://schemas.microsoft.com/office/drawing/2014/chart" uri="{C3380CC4-5D6E-409C-BE32-E72D297353CC}">
              <c16:uniqueId val="{00000016-5E36-41FC-B56B-5804D42171AF}"/>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10561.463048000001</c:v>
                </c:pt>
                <c:pt idx="1">
                  <c:v>60730.016463997745</c:v>
                </c:pt>
                <c:pt idx="2">
                  <c:v>71291.47951199775</c:v>
                </c:pt>
              </c:numCache>
            </c:numRef>
          </c:val>
          <c:extLst>
            <c:ext xmlns:c16="http://schemas.microsoft.com/office/drawing/2014/chart" uri="{C3380CC4-5D6E-409C-BE32-E72D297353CC}">
              <c16:uniqueId val="{00000000-A932-4E91-8F39-FCAEDCD50472}"/>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-31824.008943999997</c:v>
                </c:pt>
                <c:pt idx="1">
                  <c:v>0</c:v>
                </c:pt>
                <c:pt idx="2">
                  <c:v>-31824.008943999997</c:v>
                </c:pt>
              </c:numCache>
            </c:numRef>
          </c:val>
          <c:extLst>
            <c:ext xmlns:c16="http://schemas.microsoft.com/office/drawing/2014/chart" uri="{C3380CC4-5D6E-409C-BE32-E72D297353CC}">
              <c16:uniqueId val="{00000001-A932-4E91-8F39-FCAEDCD50472}"/>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-21262.545895999996</c:v>
                </c:pt>
                <c:pt idx="1">
                  <c:v>60730.016463997745</c:v>
                </c:pt>
                <c:pt idx="2">
                  <c:v>39467.470567997749</c:v>
                </c:pt>
              </c:numCache>
            </c:numRef>
          </c:val>
          <c:extLst>
            <c:ext xmlns:c16="http://schemas.microsoft.com/office/drawing/2014/chart" uri="{C3380CC4-5D6E-409C-BE32-E72D297353CC}">
              <c16:uniqueId val="{00000002-A932-4E91-8F39-FCAEDCD50472}"/>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0-8D55-4709-879D-BA7BB2F04DDF}"/>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BC4F-44CF-8133-180AAA36C800}"/>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BC4F-44CF-8133-180AAA36C800}"/>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7999.4112480000003</c:v>
                </c:pt>
              </c:numCache>
            </c:numRef>
          </c:val>
          <c:extLst>
            <c:ext xmlns:c16="http://schemas.microsoft.com/office/drawing/2014/chart" uri="{C3380CC4-5D6E-409C-BE32-E72D297353CC}">
              <c16:uniqueId val="{00000002-BC4F-44CF-8133-180AAA36C800}"/>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1777.8420000000001</c:v>
                </c:pt>
              </c:numCache>
            </c:numRef>
          </c:val>
          <c:extLst>
            <c:ext xmlns:c16="http://schemas.microsoft.com/office/drawing/2014/chart" uri="{C3380CC4-5D6E-409C-BE32-E72D297353CC}">
              <c16:uniqueId val="{00000003-BC4F-44CF-8133-180AAA36C800}"/>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BC4F-44CF-8133-180AAA36C800}"/>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204.16639999999998</c:v>
                </c:pt>
              </c:numCache>
            </c:numRef>
          </c:val>
          <c:extLst>
            <c:ext xmlns:c16="http://schemas.microsoft.com/office/drawing/2014/chart" uri="{C3380CC4-5D6E-409C-BE32-E72D297353CC}">
              <c16:uniqueId val="{00000005-BC4F-44CF-8133-180AAA36C800}"/>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580.04339999999991</c:v>
                </c:pt>
              </c:numCache>
            </c:numRef>
          </c:val>
          <c:extLst>
            <c:ext xmlns:c16="http://schemas.microsoft.com/office/drawing/2014/chart" uri="{C3380CC4-5D6E-409C-BE32-E72D297353CC}">
              <c16:uniqueId val="{00000006-BC4F-44CF-8133-180AAA36C800}"/>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BC4F-44CF-8133-180AAA36C800}"/>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BC4F-44CF-8133-180AAA36C800}"/>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BC4F-44CF-8133-180AAA36C800}"/>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BC4F-44CF-8133-180AAA36C800}"/>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-9859.1469840000009</c:v>
                </c:pt>
              </c:numCache>
            </c:numRef>
          </c:val>
          <c:extLst>
            <c:ext xmlns:c16="http://schemas.microsoft.com/office/drawing/2014/chart" uri="{C3380CC4-5D6E-409C-BE32-E72D297353CC}">
              <c16:uniqueId val="{0000000B-BC4F-44CF-8133-180AAA36C800}"/>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-8281.2747600000002</c:v>
                </c:pt>
              </c:numCache>
            </c:numRef>
          </c:val>
          <c:extLst>
            <c:ext xmlns:c16="http://schemas.microsoft.com/office/drawing/2014/chart" uri="{C3380CC4-5D6E-409C-BE32-E72D297353CC}">
              <c16:uniqueId val="{0000000C-BC4F-44CF-8133-180AAA36C800}"/>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BC4F-44CF-8133-180AAA36C800}"/>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-5461.4512000000004</c:v>
                </c:pt>
              </c:numCache>
            </c:numRef>
          </c:val>
          <c:extLst>
            <c:ext xmlns:c16="http://schemas.microsoft.com/office/drawing/2014/chart" uri="{C3380CC4-5D6E-409C-BE32-E72D297353CC}">
              <c16:uniqueId val="{0000000E-BC4F-44CF-8133-180AAA36C800}"/>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-8222.1359999999986</c:v>
                </c:pt>
              </c:numCache>
            </c:numRef>
          </c:val>
          <c:extLst>
            <c:ext xmlns:c16="http://schemas.microsoft.com/office/drawing/2014/chart" uri="{C3380CC4-5D6E-409C-BE32-E72D297353CC}">
              <c16:uniqueId val="{0000000F-BC4F-44CF-8133-180AAA36C800}"/>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BC4F-44CF-8133-180AAA36C800}"/>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BC4F-44CF-8133-180AAA36C800}"/>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-21262.545896</c:v>
                </c:pt>
              </c:numCache>
            </c:numRef>
          </c:val>
          <c:extLst>
            <c:ext xmlns:c16="http://schemas.microsoft.com/office/drawing/2014/chart" uri="{C3380CC4-5D6E-409C-BE32-E72D297353CC}">
              <c16:uniqueId val="{00000012-BC4F-44CF-8133-180AAA36C800}"/>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ED43-4E6B-BE1E-CFB60AE7DB03}"/>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ED43-4E6B-BE1E-CFB60AE7DB03}"/>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ED43-4E6B-BE1E-CFB60AE7DB03}"/>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52922.54492561012</c:v>
                </c:pt>
              </c:numCache>
            </c:numRef>
          </c:val>
          <c:extLst>
            <c:ext xmlns:c16="http://schemas.microsoft.com/office/drawing/2014/chart" uri="{C3380CC4-5D6E-409C-BE32-E72D297353CC}">
              <c16:uniqueId val="{00000003-ED43-4E6B-BE1E-CFB60AE7DB03}"/>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ED43-4E6B-BE1E-CFB60AE7DB03}"/>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ED43-4E6B-BE1E-CFB60AE7DB03}"/>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ED43-4E6B-BE1E-CFB60AE7DB03}"/>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ED43-4E6B-BE1E-CFB60AE7DB03}"/>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14297.711968001611</c:v>
                </c:pt>
              </c:numCache>
            </c:numRef>
          </c:val>
          <c:extLst>
            <c:ext xmlns:c16="http://schemas.microsoft.com/office/drawing/2014/chart" uri="{C3380CC4-5D6E-409C-BE32-E72D297353CC}">
              <c16:uniqueId val="{00000008-ED43-4E6B-BE1E-CFB60AE7DB03}"/>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ED43-4E6B-BE1E-CFB60AE7DB03}"/>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ED43-4E6B-BE1E-CFB60AE7DB03}"/>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ED43-4E6B-BE1E-CFB60AE7DB03}"/>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ED43-4E6B-BE1E-CFB60AE7DB03}"/>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ED43-4E6B-BE1E-CFB60AE7DB03}"/>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ED43-4E6B-BE1E-CFB60AE7DB03}"/>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ED43-4E6B-BE1E-CFB60AE7DB03}"/>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ED43-4E6B-BE1E-CFB60AE7DB03}"/>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ED43-4E6B-BE1E-CFB60AE7DB03}"/>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ED43-4E6B-BE1E-CFB60AE7DB03}"/>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-80794.489341582099</c:v>
                </c:pt>
              </c:numCache>
            </c:numRef>
          </c:val>
          <c:extLst>
            <c:ext xmlns:c16="http://schemas.microsoft.com/office/drawing/2014/chart" uri="{C3380CC4-5D6E-409C-BE32-E72D297353CC}">
              <c16:uniqueId val="{00000013-ED43-4E6B-BE1E-CFB60AE7DB03}"/>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ED43-4E6B-BE1E-CFB60AE7DB03}"/>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ED43-4E6B-BE1E-CFB60AE7DB03}"/>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-13574.232447970368</c:v>
                </c:pt>
              </c:numCache>
            </c:numRef>
          </c:val>
          <c:extLst>
            <c:ext xmlns:c16="http://schemas.microsoft.com/office/drawing/2014/chart" uri="{C3380CC4-5D6E-409C-BE32-E72D297353CC}">
              <c16:uniqueId val="{00000016-ED43-4E6B-BE1E-CFB60AE7DB03}"/>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10561.463048000001</c:v>
                </c:pt>
                <c:pt idx="1">
                  <c:v>67220.256893611731</c:v>
                </c:pt>
                <c:pt idx="2">
                  <c:v>77781.719941611736</c:v>
                </c:pt>
              </c:numCache>
            </c:numRef>
          </c:val>
          <c:extLst>
            <c:ext xmlns:c16="http://schemas.microsoft.com/office/drawing/2014/chart" uri="{C3380CC4-5D6E-409C-BE32-E72D297353CC}">
              <c16:uniqueId val="{00000000-543F-4E3F-9BB2-723678A9759A}"/>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-31824.008943999997</c:v>
                </c:pt>
                <c:pt idx="1">
                  <c:v>-80794.489341582099</c:v>
                </c:pt>
                <c:pt idx="2">
                  <c:v>-112618.4982855821</c:v>
                </c:pt>
              </c:numCache>
            </c:numRef>
          </c:val>
          <c:extLst>
            <c:ext xmlns:c16="http://schemas.microsoft.com/office/drawing/2014/chart" uri="{C3380CC4-5D6E-409C-BE32-E72D297353CC}">
              <c16:uniqueId val="{00000001-543F-4E3F-9BB2-723678A9759A}"/>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-21262.545895999996</c:v>
                </c:pt>
                <c:pt idx="1">
                  <c:v>-13574.232447970368</c:v>
                </c:pt>
                <c:pt idx="2">
                  <c:v>-34836.778343970363</c:v>
                </c:pt>
              </c:numCache>
            </c:numRef>
          </c:val>
          <c:extLst>
            <c:ext xmlns:c16="http://schemas.microsoft.com/office/drawing/2014/chart" uri="{C3380CC4-5D6E-409C-BE32-E72D297353CC}">
              <c16:uniqueId val="{00000002-543F-4E3F-9BB2-723678A9759A}"/>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AB79-4C56-8AFD-35F1EE5838FB}"/>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9F1F-414E-8873-DFE3357E52A9}"/>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9F1F-414E-8873-DFE3357E52A9}"/>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7999.4112480000003</c:v>
                </c:pt>
              </c:numCache>
            </c:numRef>
          </c:val>
          <c:extLst>
            <c:ext xmlns:c16="http://schemas.microsoft.com/office/drawing/2014/chart" uri="{C3380CC4-5D6E-409C-BE32-E72D297353CC}">
              <c16:uniqueId val="{00000002-9F1F-414E-8873-DFE3357E52A9}"/>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1777.8420000000001</c:v>
                </c:pt>
              </c:numCache>
            </c:numRef>
          </c:val>
          <c:extLst>
            <c:ext xmlns:c16="http://schemas.microsoft.com/office/drawing/2014/chart" uri="{C3380CC4-5D6E-409C-BE32-E72D297353CC}">
              <c16:uniqueId val="{00000003-9F1F-414E-8873-DFE3357E52A9}"/>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9F1F-414E-8873-DFE3357E52A9}"/>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204.16639999999998</c:v>
                </c:pt>
              </c:numCache>
            </c:numRef>
          </c:val>
          <c:extLst>
            <c:ext xmlns:c16="http://schemas.microsoft.com/office/drawing/2014/chart" uri="{C3380CC4-5D6E-409C-BE32-E72D297353CC}">
              <c16:uniqueId val="{00000005-9F1F-414E-8873-DFE3357E52A9}"/>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580.04339999999991</c:v>
                </c:pt>
              </c:numCache>
            </c:numRef>
          </c:val>
          <c:extLst>
            <c:ext xmlns:c16="http://schemas.microsoft.com/office/drawing/2014/chart" uri="{C3380CC4-5D6E-409C-BE32-E72D297353CC}">
              <c16:uniqueId val="{00000006-9F1F-414E-8873-DFE3357E52A9}"/>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9F1F-414E-8873-DFE3357E52A9}"/>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9F1F-414E-8873-DFE3357E52A9}"/>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9F1F-414E-8873-DFE3357E52A9}"/>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9F1F-414E-8873-DFE3357E52A9}"/>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-9859.1469840000009</c:v>
                </c:pt>
              </c:numCache>
            </c:numRef>
          </c:val>
          <c:extLst>
            <c:ext xmlns:c16="http://schemas.microsoft.com/office/drawing/2014/chart" uri="{C3380CC4-5D6E-409C-BE32-E72D297353CC}">
              <c16:uniqueId val="{0000000B-9F1F-414E-8873-DFE3357E52A9}"/>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-8281.2747600000002</c:v>
                </c:pt>
              </c:numCache>
            </c:numRef>
          </c:val>
          <c:extLst>
            <c:ext xmlns:c16="http://schemas.microsoft.com/office/drawing/2014/chart" uri="{C3380CC4-5D6E-409C-BE32-E72D297353CC}">
              <c16:uniqueId val="{0000000C-9F1F-414E-8873-DFE3357E52A9}"/>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9F1F-414E-8873-DFE3357E52A9}"/>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-5461.4512000000004</c:v>
                </c:pt>
              </c:numCache>
            </c:numRef>
          </c:val>
          <c:extLst>
            <c:ext xmlns:c16="http://schemas.microsoft.com/office/drawing/2014/chart" uri="{C3380CC4-5D6E-409C-BE32-E72D297353CC}">
              <c16:uniqueId val="{0000000E-9F1F-414E-8873-DFE3357E52A9}"/>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-8222.1359999999986</c:v>
                </c:pt>
              </c:numCache>
            </c:numRef>
          </c:val>
          <c:extLst>
            <c:ext xmlns:c16="http://schemas.microsoft.com/office/drawing/2014/chart" uri="{C3380CC4-5D6E-409C-BE32-E72D297353CC}">
              <c16:uniqueId val="{0000000F-9F1F-414E-8873-DFE3357E52A9}"/>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9F1F-414E-8873-DFE3357E52A9}"/>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9F1F-414E-8873-DFE3357E52A9}"/>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-21262.545896</c:v>
                </c:pt>
              </c:numCache>
            </c:numRef>
          </c:val>
          <c:extLst>
            <c:ext xmlns:c16="http://schemas.microsoft.com/office/drawing/2014/chart" uri="{C3380CC4-5D6E-409C-BE32-E72D297353CC}">
              <c16:uniqueId val="{00000012-9F1F-414E-8873-DFE3357E52A9}"/>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8846-4FCE-9966-CDDD3092331E}"/>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8846-4FCE-9966-CDDD3092331E}"/>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8846-4FCE-9966-CDDD3092331E}"/>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26461.27246280506</c:v>
                </c:pt>
              </c:numCache>
            </c:numRef>
          </c:val>
          <c:extLst>
            <c:ext xmlns:c16="http://schemas.microsoft.com/office/drawing/2014/chart" uri="{C3380CC4-5D6E-409C-BE32-E72D297353CC}">
              <c16:uniqueId val="{00000003-8846-4FCE-9966-CDDD3092331E}"/>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8846-4FCE-9966-CDDD3092331E}"/>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8846-4FCE-9966-CDDD3092331E}"/>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8846-4FCE-9966-CDDD3092331E}"/>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8846-4FCE-9966-CDDD3092331E}"/>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8846-4FCE-9966-CDDD3092331E}"/>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39528.245484926003</c:v>
                </c:pt>
              </c:numCache>
            </c:numRef>
          </c:val>
          <c:extLst>
            <c:ext xmlns:c16="http://schemas.microsoft.com/office/drawing/2014/chart" uri="{C3380CC4-5D6E-409C-BE32-E72D297353CC}">
              <c16:uniqueId val="{00000009-8846-4FCE-9966-CDDD3092331E}"/>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8846-4FCE-9966-CDDD3092331E}"/>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8846-4FCE-9966-CDDD3092331E}"/>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8846-4FCE-9966-CDDD3092331E}"/>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8846-4FCE-9966-CDDD3092331E}"/>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8846-4FCE-9966-CDDD3092331E}"/>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8846-4FCE-9966-CDDD3092331E}"/>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8846-4FCE-9966-CDDD3092331E}"/>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8846-4FCE-9966-CDDD3092331E}"/>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8846-4FCE-9966-CDDD3092331E}"/>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8846-4FCE-9966-CDDD3092331E}"/>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-2810.5079200893747</c:v>
                </c:pt>
              </c:numCache>
            </c:numRef>
          </c:val>
          <c:extLst>
            <c:ext xmlns:c16="http://schemas.microsoft.com/office/drawing/2014/chart" uri="{C3380CC4-5D6E-409C-BE32-E72D297353CC}">
              <c16:uniqueId val="{00000014-8846-4FCE-9966-CDDD3092331E}"/>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8846-4FCE-9966-CDDD3092331E}"/>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63179.010027641685</c:v>
                </c:pt>
              </c:numCache>
            </c:numRef>
          </c:val>
          <c:extLst>
            <c:ext xmlns:c16="http://schemas.microsoft.com/office/drawing/2014/chart" uri="{C3380CC4-5D6E-409C-BE32-E72D297353CC}">
              <c16:uniqueId val="{00000016-8846-4FCE-9966-CDDD3092331E}"/>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ED07-4F29-AEA5-FAAC90D30214}"/>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ED07-4F29-AEA5-FAAC90D30214}"/>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ED07-4F29-AEA5-FAAC90D30214}"/>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983D-4B1D-9331-A2F5C963F30E}"/>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ABC4-4BBC-846B-6BF0EA83AD6D}"/>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ABC4-4BBC-846B-6BF0EA83AD6D}"/>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7999.4112480000003</c:v>
                </c:pt>
              </c:numCache>
            </c:numRef>
          </c:val>
          <c:extLst>
            <c:ext xmlns:c16="http://schemas.microsoft.com/office/drawing/2014/chart" uri="{C3380CC4-5D6E-409C-BE32-E72D297353CC}">
              <c16:uniqueId val="{00000002-ABC4-4BBC-846B-6BF0EA83AD6D}"/>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1777.8420000000001</c:v>
                </c:pt>
              </c:numCache>
            </c:numRef>
          </c:val>
          <c:extLst>
            <c:ext xmlns:c16="http://schemas.microsoft.com/office/drawing/2014/chart" uri="{C3380CC4-5D6E-409C-BE32-E72D297353CC}">
              <c16:uniqueId val="{00000003-ABC4-4BBC-846B-6BF0EA83AD6D}"/>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ABC4-4BBC-846B-6BF0EA83AD6D}"/>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204.16639999999998</c:v>
                </c:pt>
              </c:numCache>
            </c:numRef>
          </c:val>
          <c:extLst>
            <c:ext xmlns:c16="http://schemas.microsoft.com/office/drawing/2014/chart" uri="{C3380CC4-5D6E-409C-BE32-E72D297353CC}">
              <c16:uniqueId val="{00000005-ABC4-4BBC-846B-6BF0EA83AD6D}"/>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580.04339999999991</c:v>
                </c:pt>
              </c:numCache>
            </c:numRef>
          </c:val>
          <c:extLst>
            <c:ext xmlns:c16="http://schemas.microsoft.com/office/drawing/2014/chart" uri="{C3380CC4-5D6E-409C-BE32-E72D297353CC}">
              <c16:uniqueId val="{00000006-ABC4-4BBC-846B-6BF0EA83AD6D}"/>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ABC4-4BBC-846B-6BF0EA83AD6D}"/>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ABC4-4BBC-846B-6BF0EA83AD6D}"/>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ABC4-4BBC-846B-6BF0EA83AD6D}"/>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ABC4-4BBC-846B-6BF0EA83AD6D}"/>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-9859.1469840000009</c:v>
                </c:pt>
              </c:numCache>
            </c:numRef>
          </c:val>
          <c:extLst>
            <c:ext xmlns:c16="http://schemas.microsoft.com/office/drawing/2014/chart" uri="{C3380CC4-5D6E-409C-BE32-E72D297353CC}">
              <c16:uniqueId val="{0000000B-ABC4-4BBC-846B-6BF0EA83AD6D}"/>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-8281.2747600000002</c:v>
                </c:pt>
              </c:numCache>
            </c:numRef>
          </c:val>
          <c:extLst>
            <c:ext xmlns:c16="http://schemas.microsoft.com/office/drawing/2014/chart" uri="{C3380CC4-5D6E-409C-BE32-E72D297353CC}">
              <c16:uniqueId val="{0000000C-ABC4-4BBC-846B-6BF0EA83AD6D}"/>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ABC4-4BBC-846B-6BF0EA83AD6D}"/>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-5461.4512000000004</c:v>
                </c:pt>
              </c:numCache>
            </c:numRef>
          </c:val>
          <c:extLst>
            <c:ext xmlns:c16="http://schemas.microsoft.com/office/drawing/2014/chart" uri="{C3380CC4-5D6E-409C-BE32-E72D297353CC}">
              <c16:uniqueId val="{0000000E-ABC4-4BBC-846B-6BF0EA83AD6D}"/>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-8222.1359999999986</c:v>
                </c:pt>
              </c:numCache>
            </c:numRef>
          </c:val>
          <c:extLst>
            <c:ext xmlns:c16="http://schemas.microsoft.com/office/drawing/2014/chart" uri="{C3380CC4-5D6E-409C-BE32-E72D297353CC}">
              <c16:uniqueId val="{0000000F-ABC4-4BBC-846B-6BF0EA83AD6D}"/>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ABC4-4BBC-846B-6BF0EA83AD6D}"/>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ABC4-4BBC-846B-6BF0EA83AD6D}"/>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-21262.545896</c:v>
                </c:pt>
              </c:numCache>
            </c:numRef>
          </c:val>
          <c:extLst>
            <c:ext xmlns:c16="http://schemas.microsoft.com/office/drawing/2014/chart" uri="{C3380CC4-5D6E-409C-BE32-E72D297353CC}">
              <c16:uniqueId val="{00000012-ABC4-4BBC-846B-6BF0EA83AD6D}"/>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0C5A-44D5-AD41-CE3E980F0F4B}"/>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0C5A-44D5-AD41-CE3E980F0F4B}"/>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0C5A-44D5-AD41-CE3E980F0F4B}"/>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26461.27246280506</c:v>
                </c:pt>
              </c:numCache>
            </c:numRef>
          </c:val>
          <c:extLst>
            <c:ext xmlns:c16="http://schemas.microsoft.com/office/drawing/2014/chart" uri="{C3380CC4-5D6E-409C-BE32-E72D297353CC}">
              <c16:uniqueId val="{00000003-0C5A-44D5-AD41-CE3E980F0F4B}"/>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0C5A-44D5-AD41-CE3E980F0F4B}"/>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0C5A-44D5-AD41-CE3E980F0F4B}"/>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0C5A-44D5-AD41-CE3E980F0F4B}"/>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0C5A-44D5-AD41-CE3E980F0F4B}"/>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0C5A-44D5-AD41-CE3E980F0F4B}"/>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39528.245484926003</c:v>
                </c:pt>
              </c:numCache>
            </c:numRef>
          </c:val>
          <c:extLst>
            <c:ext xmlns:c16="http://schemas.microsoft.com/office/drawing/2014/chart" uri="{C3380CC4-5D6E-409C-BE32-E72D297353CC}">
              <c16:uniqueId val="{00000009-0C5A-44D5-AD41-CE3E980F0F4B}"/>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0C5A-44D5-AD41-CE3E980F0F4B}"/>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0C5A-44D5-AD41-CE3E980F0F4B}"/>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0C5A-44D5-AD41-CE3E980F0F4B}"/>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0C5A-44D5-AD41-CE3E980F0F4B}"/>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0C5A-44D5-AD41-CE3E980F0F4B}"/>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0C5A-44D5-AD41-CE3E980F0F4B}"/>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0C5A-44D5-AD41-CE3E980F0F4B}"/>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0C5A-44D5-AD41-CE3E980F0F4B}"/>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0C5A-44D5-AD41-CE3E980F0F4B}"/>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0C5A-44D5-AD41-CE3E980F0F4B}"/>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-2810.5079200893747</c:v>
                </c:pt>
              </c:numCache>
            </c:numRef>
          </c:val>
          <c:extLst>
            <c:ext xmlns:c16="http://schemas.microsoft.com/office/drawing/2014/chart" uri="{C3380CC4-5D6E-409C-BE32-E72D297353CC}">
              <c16:uniqueId val="{00000014-0C5A-44D5-AD41-CE3E980F0F4B}"/>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0C5A-44D5-AD41-CE3E980F0F4B}"/>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63179.010027641685</c:v>
                </c:pt>
              </c:numCache>
            </c:numRef>
          </c:val>
          <c:extLst>
            <c:ext xmlns:c16="http://schemas.microsoft.com/office/drawing/2014/chart" uri="{C3380CC4-5D6E-409C-BE32-E72D297353CC}">
              <c16:uniqueId val="{00000016-0C5A-44D5-AD41-CE3E980F0F4B}"/>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5A03-4C6F-A5F9-C9F4B0D27A47}"/>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5A03-4C6F-A5F9-C9F4B0D27A47}"/>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5A03-4C6F-A5F9-C9F4B0D27A47}"/>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1912.6000000000001</c:v>
                </c:pt>
                <c:pt idx="3">
                  <c:v>1971</c:v>
                </c:pt>
                <c:pt idx="4">
                  <c:v>0</c:v>
                </c:pt>
                <c:pt idx="5">
                  <c:v>671.6</c:v>
                </c:pt>
                <c:pt idx="6">
                  <c:v>175.20000000000002</c:v>
                </c:pt>
                <c:pt idx="7">
                  <c:v>0</c:v>
                </c:pt>
                <c:pt idx="8" formatCode="0.0%">
                  <c:v>3.2400000000000005E-2</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3C22-45A7-8134-A0DBCFC6344F}"/>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1-3C22-45A7-8134-A0DBCFC6344F}"/>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2-3C22-45A7-8134-A0DBCFC6344F}"/>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3-3C22-45A7-8134-A0DBCFC6344F}"/>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6368.9580000000005</c:v>
                </c:pt>
                <c:pt idx="3">
                  <c:v>4336.2</c:v>
                </c:pt>
                <c:pt idx="4">
                  <c:v>0</c:v>
                </c:pt>
                <c:pt idx="5">
                  <c:v>3190.1</c:v>
                </c:pt>
                <c:pt idx="6">
                  <c:v>832.19999999999993</c:v>
                </c:pt>
                <c:pt idx="7">
                  <c:v>0</c:v>
                </c:pt>
                <c:pt idx="8">
                  <c:v>0</c:v>
                </c:pt>
                <c:pt idx="9">
                  <c:v>0</c:v>
                </c:pt>
                <c:pt idx="10">
                  <c:v>19690.881299999997</c:v>
                </c:pt>
                <c:pt idx="11">
                  <c:v>0</c:v>
                </c:pt>
                <c:pt idx="12">
                  <c:v>0</c:v>
                </c:pt>
                <c:pt idx="13">
                  <c:v>0</c:v>
                </c:pt>
                <c:pt idx="14">
                  <c:v>0</c:v>
                </c:pt>
                <c:pt idx="15">
                  <c:v>0</c:v>
                </c:pt>
                <c:pt idx="16">
                  <c:v>111581.66069999998</c:v>
                </c:pt>
              </c:numCache>
            </c:numRef>
          </c:val>
          <c:extLst>
            <c:ext xmlns:c16="http://schemas.microsoft.com/office/drawing/2014/chart" uri="{C3380CC4-5D6E-409C-BE32-E72D297353CC}">
              <c16:uniqueId val="{00000004-3C22-45A7-8134-A0DBCFC6344F}"/>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6368.9580000000005</c:v>
                </c:pt>
                <c:pt idx="3">
                  <c:v>4336.2</c:v>
                </c:pt>
                <c:pt idx="4">
                  <c:v>0</c:v>
                </c:pt>
                <c:pt idx="5">
                  <c:v>3190.1</c:v>
                </c:pt>
                <c:pt idx="6">
                  <c:v>832.19999999999993</c:v>
                </c:pt>
                <c:pt idx="7">
                  <c:v>0</c:v>
                </c:pt>
                <c:pt idx="8">
                  <c:v>0</c:v>
                </c:pt>
                <c:pt idx="9">
                  <c:v>0</c:v>
                </c:pt>
                <c:pt idx="10">
                  <c:v>0</c:v>
                </c:pt>
                <c:pt idx="11">
                  <c:v>0</c:v>
                </c:pt>
                <c:pt idx="12">
                  <c:v>45945.389699999992</c:v>
                </c:pt>
                <c:pt idx="13">
                  <c:v>0</c:v>
                </c:pt>
                <c:pt idx="14">
                  <c:v>16409.067749999998</c:v>
                </c:pt>
                <c:pt idx="15">
                  <c:v>68918.08455</c:v>
                </c:pt>
                <c:pt idx="16">
                  <c:v>0</c:v>
                </c:pt>
                <c:pt idx="17">
                  <c:v>0</c:v>
                </c:pt>
              </c:numCache>
            </c:numRef>
          </c:val>
          <c:extLst>
            <c:ext xmlns:c16="http://schemas.microsoft.com/office/drawing/2014/chart" uri="{C3380CC4-5D6E-409C-BE32-E72D297353CC}">
              <c16:uniqueId val="{00000005-3C22-45A7-8134-A0DBCFC6344F}"/>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3375.4324000000001</c:v>
                </c:pt>
                <c:pt idx="1">
                  <c:v>-9605.6758000000009</c:v>
                </c:pt>
                <c:pt idx="2">
                  <c:v>167352.43851908133</c:v>
                </c:pt>
                <c:pt idx="3">
                  <c:v>0</c:v>
                </c:pt>
                <c:pt idx="4">
                  <c:v>170727.87091908132</c:v>
                </c:pt>
                <c:pt idx="5">
                  <c:v>-9605.6758000000009</c:v>
                </c:pt>
                <c:pt idx="6">
                  <c:v>161122.19511908133</c:v>
                </c:pt>
              </c:numCache>
            </c:numRef>
          </c:val>
          <c:extLst>
            <c:ext xmlns:c16="http://schemas.microsoft.com/office/drawing/2014/chart" uri="{C3380CC4-5D6E-409C-BE32-E72D297353CC}">
              <c16:uniqueId val="{00000000-E1C3-4F9F-ADD1-41A6E256A42D}"/>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10561.463048000001</c:v>
                </c:pt>
                <c:pt idx="1">
                  <c:v>-31824.008943999997</c:v>
                </c:pt>
                <c:pt idx="2">
                  <c:v>71149.336779140445</c:v>
                </c:pt>
                <c:pt idx="3">
                  <c:v>-43159.643033361666</c:v>
                </c:pt>
                <c:pt idx="4">
                  <c:v>81710.79982714045</c:v>
                </c:pt>
                <c:pt idx="5">
                  <c:v>-74983.65197736166</c:v>
                </c:pt>
                <c:pt idx="6">
                  <c:v>6727.1478497787903</c:v>
                </c:pt>
              </c:numCache>
            </c:numRef>
          </c:val>
          <c:extLst>
            <c:ext xmlns:c16="http://schemas.microsoft.com/office/drawing/2014/chart" uri="{C3380CC4-5D6E-409C-BE32-E72D297353CC}">
              <c16:uniqueId val="{00000001-E1C3-4F9F-ADD1-41A6E256A42D}"/>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10561.463048000001</c:v>
                </c:pt>
                <c:pt idx="1">
                  <c:v>-31824.008943999997</c:v>
                </c:pt>
                <c:pt idx="2">
                  <c:v>60730.016463997745</c:v>
                </c:pt>
                <c:pt idx="3">
                  <c:v>0</c:v>
                </c:pt>
                <c:pt idx="4">
                  <c:v>71291.47951199775</c:v>
                </c:pt>
                <c:pt idx="5">
                  <c:v>-31824.008943999997</c:v>
                </c:pt>
                <c:pt idx="6">
                  <c:v>39467.470567997749</c:v>
                </c:pt>
              </c:numCache>
            </c:numRef>
          </c:val>
          <c:extLst>
            <c:ext xmlns:c16="http://schemas.microsoft.com/office/drawing/2014/chart" uri="{C3380CC4-5D6E-409C-BE32-E72D297353CC}">
              <c16:uniqueId val="{00000002-E1C3-4F9F-ADD1-41A6E256A42D}"/>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10561.463048000001</c:v>
                </c:pt>
                <c:pt idx="1">
                  <c:v>-31824.008943999997</c:v>
                </c:pt>
                <c:pt idx="2">
                  <c:v>67220.256893611731</c:v>
                </c:pt>
                <c:pt idx="3">
                  <c:v>-80794.489341582099</c:v>
                </c:pt>
                <c:pt idx="4">
                  <c:v>77781.719941611736</c:v>
                </c:pt>
                <c:pt idx="5">
                  <c:v>-112618.4982855821</c:v>
                </c:pt>
                <c:pt idx="6">
                  <c:v>-34836.778343970363</c:v>
                </c:pt>
              </c:numCache>
            </c:numRef>
          </c:val>
          <c:extLst>
            <c:ext xmlns:c16="http://schemas.microsoft.com/office/drawing/2014/chart" uri="{C3380CC4-5D6E-409C-BE32-E72D297353CC}">
              <c16:uniqueId val="{00000003-E1C3-4F9F-ADD1-41A6E256A42D}"/>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10561.463048000001</c:v>
                </c:pt>
                <c:pt idx="1">
                  <c:v>-31824.008943999997</c:v>
                </c:pt>
                <c:pt idx="2">
                  <c:v>65989.517947731059</c:v>
                </c:pt>
                <c:pt idx="3">
                  <c:v>-2810.5079200893747</c:v>
                </c:pt>
                <c:pt idx="4">
                  <c:v>76550.980995731064</c:v>
                </c:pt>
                <c:pt idx="5">
                  <c:v>-34634.516864089375</c:v>
                </c:pt>
                <c:pt idx="6">
                  <c:v>41916.464131641689</c:v>
                </c:pt>
              </c:numCache>
            </c:numRef>
          </c:val>
          <c:extLst>
            <c:ext xmlns:c16="http://schemas.microsoft.com/office/drawing/2014/chart" uri="{C3380CC4-5D6E-409C-BE32-E72D297353CC}">
              <c16:uniqueId val="{00000004-E1C3-4F9F-ADD1-41A6E256A42D}"/>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10561.463048000001</c:v>
                </c:pt>
                <c:pt idx="1">
                  <c:v>-31824.008943999997</c:v>
                </c:pt>
                <c:pt idx="2">
                  <c:v>70797.19192956874</c:v>
                </c:pt>
                <c:pt idx="3">
                  <c:v>-42709.450115955238</c:v>
                </c:pt>
                <c:pt idx="4">
                  <c:v>81358.654977568745</c:v>
                </c:pt>
                <c:pt idx="5">
                  <c:v>-74533.459059955232</c:v>
                </c:pt>
                <c:pt idx="6">
                  <c:v>6825.1959176135133</c:v>
                </c:pt>
              </c:numCache>
            </c:numRef>
          </c:val>
          <c:extLst>
            <c:ext xmlns:c16="http://schemas.microsoft.com/office/drawing/2014/chart" uri="{C3380CC4-5D6E-409C-BE32-E72D297353CC}">
              <c16:uniqueId val="{00000005-E1C3-4F9F-ADD1-41A6E256A42D}"/>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170727.87091908132</c:v>
                </c:pt>
                <c:pt idx="1">
                  <c:v>81710.79982714045</c:v>
                </c:pt>
                <c:pt idx="2">
                  <c:v>81710.79982714045</c:v>
                </c:pt>
                <c:pt idx="3">
                  <c:v>81358.654977568745</c:v>
                </c:pt>
                <c:pt idx="4">
                  <c:v>71291.47951199775</c:v>
                </c:pt>
                <c:pt idx="5">
                  <c:v>77781.719941611736</c:v>
                </c:pt>
                <c:pt idx="6">
                  <c:v>76550.980995731064</c:v>
                </c:pt>
              </c:numCache>
            </c:numRef>
          </c:val>
          <c:extLst>
            <c:ext xmlns:c16="http://schemas.microsoft.com/office/drawing/2014/chart" uri="{C3380CC4-5D6E-409C-BE32-E72D297353CC}">
              <c16:uniqueId val="{00000000-70F1-4E27-A15E-C6D3974FBDD5}"/>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-9605.6758000000009</c:v>
                </c:pt>
                <c:pt idx="1">
                  <c:v>-74983.65197736166</c:v>
                </c:pt>
                <c:pt idx="2">
                  <c:v>-81224.073168446077</c:v>
                </c:pt>
                <c:pt idx="3">
                  <c:v>-74533.459059955232</c:v>
                </c:pt>
                <c:pt idx="4">
                  <c:v>-31824.008943999997</c:v>
                </c:pt>
                <c:pt idx="5">
                  <c:v>-112618.4982855821</c:v>
                </c:pt>
                <c:pt idx="6">
                  <c:v>-34634.516864089375</c:v>
                </c:pt>
              </c:numCache>
            </c:numRef>
          </c:val>
          <c:extLst>
            <c:ext xmlns:c16="http://schemas.microsoft.com/office/drawing/2014/chart" uri="{C3380CC4-5D6E-409C-BE32-E72D297353CC}">
              <c16:uniqueId val="{00000001-70F1-4E27-A15E-C6D3974FBDD5}"/>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161122.19511908133</c:v>
                </c:pt>
                <c:pt idx="1">
                  <c:v>6727.1478497787903</c:v>
                </c:pt>
                <c:pt idx="2">
                  <c:v>486.72665869437333</c:v>
                </c:pt>
                <c:pt idx="3">
                  <c:v>6825.1959176135133</c:v>
                </c:pt>
                <c:pt idx="4">
                  <c:v>39467.470567997749</c:v>
                </c:pt>
                <c:pt idx="5">
                  <c:v>-34836.778343970363</c:v>
                </c:pt>
                <c:pt idx="6">
                  <c:v>41916.464131641689</c:v>
                </c:pt>
              </c:numCache>
            </c:numRef>
          </c:val>
          <c:extLst>
            <c:ext xmlns:c16="http://schemas.microsoft.com/office/drawing/2014/chart" uri="{C3380CC4-5D6E-409C-BE32-E72D297353CC}">
              <c16:uniqueId val="{00000002-70F1-4E27-A15E-C6D3974FBDD5}"/>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D9166571-1557-4AA9-8BC1-1FCB36B6513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7F29E520-19E0-4C66-9845-881ACDC93984}"/>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98144E99-0926-4C11-BE1A-E0A2CE51F9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A60BBAFC-D6D3-4244-8B64-96D2FF0D58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369AB439-8C12-47C2-913B-3BE9117EE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24D41D37-16AA-407D-88D6-AE092F14D2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E8C70E57-D928-414E-B213-69B7AC5BAA09}"/>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4F9791AA-28FA-4702-B907-8B9C00480CEE}"/>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84DF5EA1-F967-4C3A-9A52-20E98E5344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17779CB6-A080-43F9-B2F2-25F55E9EFC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BB76DFF4-2746-4DCE-AAFD-1AE3912846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C9C370AE-E52D-4A67-A034-667A8713E1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B95C3820-033F-4FC5-82DE-3BCF85BF23E0}"/>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4BF96B4C-1640-463E-9C5B-533FFAEB20E6}"/>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3461FA72-8173-4637-99BD-FC5949F2F2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527F9906-C6CC-41D2-89A8-243061DBB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629D185E-959B-4C71-9E5A-927A13CDC9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2AB5B6AA-3482-48E4-B2AF-DF088CD325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1099E248-D5CE-4187-B258-56AB12A760CC}"/>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5B20022C-F79E-4733-96D2-8E957F9FB64D}"/>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FF96EF7A-AD60-4485-90B3-48D8695E17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6B30B478-D20D-4CFD-B405-69E8DFB54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C764927B-3A26-4D77-813C-93831BD135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AABC884C-F1FE-4F0F-A74A-B80674F4A5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212ACB99-5990-445D-A2A1-1074F62D68DF}"/>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2AA5F558-700C-416C-99D5-99BB56DB5ECC}"/>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71EB8459-36CF-467B-85F4-024A095F15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AD7C46DB-46BC-4368-9439-544B1A889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BE3D8E6A-3308-41C6-AB10-A7FB2E9CBF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31244710-981D-48B2-8063-53C1FB8B91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BD881F03-92C6-43D7-9D22-EF5AF912F24B}"/>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FDFBED65-2B86-4F56-B7A6-B64AF5C530FD}"/>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A26621B1-7EA2-4D23-B387-B2CB89322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31E4E006-98BA-4251-A514-36F759476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EDA80234-AD2D-42B2-A224-601B2EC71D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7AA58E8D-8358-4FA9-943D-75A4DC9BD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121F2552-9B11-4DAF-B7FF-012FF91E2978}"/>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507E31AD-540E-43A2-BD2A-471A8D80F986}"/>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DBCDC816-A29C-446A-AE6F-424C5AD5A7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A3079C0-978C-4355-9EAB-B84EFF6179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5E46D857-5B57-4E6A-8019-4C282B34B3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4D6234BE-B616-445C-8EE8-34A1D9458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A9D01890-56E3-47B8-85D9-AB4F7AA0583F}"/>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9A9E246E-E5EE-4147-B7E8-1E65217B1669}"/>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B7DEA3D6-612A-45EA-8BBC-3292A7BBFA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3A8BD509-BC6D-41C3-B3D1-3CA0A6DE94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8CBA9C0E-2224-4473-BB2D-F211DA95F0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EBCE78BE-FCB6-4084-B2BE-F2DC2B093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6C525E28-C0CD-4A77-B93A-74924D97AA7D}"/>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E0E420AE-DDA8-4A31-BEF5-00B858899794}"/>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8492FC9E-4655-4324-917B-684F93966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F5303C94-6DDD-4935-B674-E4928439D0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35E4C010-F364-4E0B-8514-47469340C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8AE978FE-430E-4D93-BC51-8659A11682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2651" t="s">
        <v>424</v>
      </c>
      <c r="D2" s="2652"/>
      <c r="E2" s="2652"/>
      <c r="F2" s="2652"/>
      <c r="G2" s="2652"/>
      <c r="H2" s="380"/>
      <c r="I2" s="2655" t="s">
        <v>868</v>
      </c>
      <c r="J2" s="2656"/>
      <c r="K2" s="2656"/>
    </row>
    <row r="3" spans="2:18" ht="10.5" customHeight="1" x14ac:dyDescent="0.25">
      <c r="B3" s="379"/>
      <c r="C3" s="378"/>
      <c r="D3" s="378"/>
      <c r="E3" s="378"/>
      <c r="F3" s="378"/>
      <c r="G3" s="378"/>
      <c r="H3" s="379"/>
      <c r="I3" s="379"/>
      <c r="J3" s="379"/>
      <c r="K3" s="379"/>
    </row>
    <row r="4" spans="2:18" ht="37.9" customHeight="1" x14ac:dyDescent="0.25">
      <c r="B4" s="381"/>
      <c r="C4" s="2653" t="s">
        <v>715</v>
      </c>
      <c r="D4" s="2654"/>
      <c r="E4" s="2654"/>
      <c r="F4" s="2654"/>
      <c r="G4" s="2654"/>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2648" t="s">
        <v>448</v>
      </c>
      <c r="K6" s="2650"/>
      <c r="L6" s="2650"/>
      <c r="M6" s="2650"/>
      <c r="N6" s="2650"/>
      <c r="O6" s="2650"/>
      <c r="P6" s="2650"/>
      <c r="Q6" s="2650"/>
      <c r="R6" s="2650"/>
    </row>
    <row r="7" spans="2:18" ht="18" customHeight="1" x14ac:dyDescent="0.25">
      <c r="B7" s="69"/>
      <c r="I7" s="382"/>
      <c r="J7" s="2650"/>
      <c r="K7" s="2650"/>
      <c r="L7" s="2650"/>
      <c r="M7" s="2650"/>
      <c r="N7" s="2650"/>
      <c r="O7" s="2650"/>
      <c r="P7" s="2650"/>
      <c r="Q7" s="2650"/>
      <c r="R7" s="2650"/>
    </row>
    <row r="8" spans="2:18" ht="18" customHeight="1" x14ac:dyDescent="0.25">
      <c r="B8" s="69"/>
      <c r="I8" s="382"/>
      <c r="J8" s="70"/>
      <c r="K8" s="70"/>
      <c r="L8" s="70"/>
      <c r="M8" s="70"/>
      <c r="N8" s="70"/>
      <c r="O8" s="70"/>
      <c r="P8" s="70"/>
      <c r="Q8" s="70"/>
      <c r="R8" s="70"/>
    </row>
    <row r="9" spans="2:18" ht="22.9" customHeight="1" x14ac:dyDescent="0.25">
      <c r="B9" s="69"/>
      <c r="I9" s="103" t="s">
        <v>717</v>
      </c>
      <c r="J9" s="2648" t="s">
        <v>720</v>
      </c>
      <c r="K9" s="2650"/>
      <c r="L9" s="2650"/>
      <c r="M9" s="2650"/>
      <c r="N9" s="2650"/>
      <c r="O9" s="2650"/>
      <c r="P9" s="2650"/>
      <c r="Q9" s="2650"/>
      <c r="R9" s="2650"/>
    </row>
    <row r="10" spans="2:18" ht="22.9" customHeight="1" x14ac:dyDescent="0.25">
      <c r="B10" s="69"/>
      <c r="I10" s="382"/>
      <c r="J10" s="2650"/>
      <c r="K10" s="2650"/>
      <c r="L10" s="2650"/>
      <c r="M10" s="2650"/>
      <c r="N10" s="2650"/>
      <c r="O10" s="2650"/>
      <c r="P10" s="2650"/>
      <c r="Q10" s="2650"/>
      <c r="R10" s="2650"/>
    </row>
    <row r="11" spans="2:18" ht="22.9" customHeight="1" x14ac:dyDescent="0.25">
      <c r="I11" s="382"/>
      <c r="J11" s="2650"/>
      <c r="K11" s="2650"/>
      <c r="L11" s="2650"/>
      <c r="M11" s="2650"/>
      <c r="N11" s="2650"/>
      <c r="O11" s="2650"/>
      <c r="P11" s="2650"/>
      <c r="Q11" s="2650"/>
      <c r="R11" s="2650"/>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2649" t="s">
        <v>721</v>
      </c>
      <c r="K13" s="2649"/>
      <c r="L13" s="2649"/>
      <c r="M13" s="2649"/>
      <c r="N13" s="2649"/>
      <c r="O13" s="2649"/>
      <c r="P13" s="2649"/>
      <c r="Q13" s="2649"/>
      <c r="R13" s="2649"/>
    </row>
    <row r="14" spans="2:18" ht="18" customHeight="1" x14ac:dyDescent="0.25">
      <c r="B14" s="69"/>
      <c r="C14" s="74"/>
      <c r="I14" s="382"/>
      <c r="J14" s="2649"/>
      <c r="K14" s="2649"/>
      <c r="L14" s="2649"/>
      <c r="M14" s="2649"/>
      <c r="N14" s="2649"/>
      <c r="O14" s="2649"/>
      <c r="P14" s="2649"/>
      <c r="Q14" s="2649"/>
      <c r="R14" s="2649"/>
    </row>
    <row r="15" spans="2:18" ht="18" customHeight="1" x14ac:dyDescent="0.25">
      <c r="B15" s="69"/>
      <c r="C15" s="74"/>
      <c r="I15" s="382"/>
      <c r="J15" s="2649"/>
      <c r="K15" s="2649"/>
      <c r="L15" s="2649"/>
      <c r="M15" s="2649"/>
      <c r="N15" s="2649"/>
      <c r="O15" s="2649"/>
      <c r="P15" s="2649"/>
      <c r="Q15" s="2649"/>
      <c r="R15" s="2649"/>
    </row>
    <row r="16" spans="2:18" ht="18" customHeight="1" x14ac:dyDescent="0.25">
      <c r="B16" s="69"/>
      <c r="C16" s="74"/>
      <c r="I16" s="382"/>
      <c r="J16" s="2649"/>
      <c r="K16" s="2649"/>
      <c r="L16" s="2649"/>
      <c r="M16" s="2649"/>
      <c r="N16" s="2649"/>
      <c r="O16" s="2649"/>
      <c r="P16" s="2649"/>
      <c r="Q16" s="2649"/>
      <c r="R16" s="2649"/>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2648" t="s">
        <v>449</v>
      </c>
      <c r="K18" s="2648"/>
      <c r="L18" s="2648"/>
      <c r="M18" s="2648"/>
      <c r="N18" s="2648"/>
      <c r="O18" s="2648"/>
      <c r="P18" s="2648"/>
      <c r="Q18" s="2648"/>
      <c r="R18" s="2648"/>
    </row>
    <row r="19" spans="1:18" ht="18" customHeight="1" x14ac:dyDescent="0.25">
      <c r="B19" s="69"/>
      <c r="D19" s="74"/>
      <c r="E19" s="74"/>
      <c r="F19" s="74"/>
      <c r="G19" s="74"/>
      <c r="H19" s="74"/>
      <c r="I19" s="74"/>
      <c r="J19" s="2648"/>
      <c r="K19" s="2648"/>
      <c r="L19" s="2648"/>
      <c r="M19" s="2648"/>
      <c r="N19" s="2648"/>
      <c r="O19" s="2648"/>
      <c r="P19" s="2648"/>
      <c r="Q19" s="2648"/>
      <c r="R19" s="2648"/>
    </row>
    <row r="20" spans="1:18" ht="18" customHeight="1" x14ac:dyDescent="0.25">
      <c r="B20" s="69"/>
      <c r="C20" s="74"/>
      <c r="D20" s="74"/>
      <c r="E20" s="74"/>
      <c r="F20" s="74"/>
      <c r="G20" s="74"/>
      <c r="H20" s="74"/>
      <c r="I20" s="74"/>
      <c r="J20" s="2648"/>
      <c r="K20" s="2648"/>
      <c r="L20" s="2648"/>
      <c r="M20" s="2648"/>
      <c r="N20" s="2648"/>
      <c r="O20" s="2648"/>
      <c r="P20" s="2648"/>
      <c r="Q20" s="2648"/>
      <c r="R20" s="2648"/>
    </row>
    <row r="21" spans="1:18" ht="40.15" customHeight="1" x14ac:dyDescent="0.25">
      <c r="A21" s="459"/>
      <c r="B21" s="383"/>
      <c r="C21" s="384"/>
      <c r="D21" s="384"/>
      <c r="E21" s="384"/>
      <c r="F21" s="384"/>
      <c r="G21" s="387"/>
      <c r="I21" s="74"/>
      <c r="J21" s="2648"/>
      <c r="K21" s="2648"/>
      <c r="L21" s="2648"/>
      <c r="M21" s="2648"/>
      <c r="N21" s="2648"/>
      <c r="O21" s="2648"/>
      <c r="P21" s="2648"/>
      <c r="Q21" s="2648"/>
      <c r="R21" s="2648"/>
    </row>
    <row r="22" spans="1:18" ht="34.9" customHeight="1" x14ac:dyDescent="0.25">
      <c r="B22" s="71"/>
      <c r="C22" s="71"/>
      <c r="D22" s="71"/>
      <c r="E22" s="71"/>
      <c r="F22" s="71"/>
      <c r="G22" s="71"/>
      <c r="H22" s="71"/>
      <c r="I22" s="71"/>
      <c r="J22" s="2648"/>
      <c r="K22" s="2648"/>
      <c r="L22" s="2648"/>
      <c r="M22" s="2648"/>
      <c r="N22" s="2648"/>
      <c r="O22" s="2648"/>
      <c r="P22" s="2648"/>
      <c r="Q22" s="2648"/>
      <c r="R22" s="2648"/>
    </row>
    <row r="23" spans="1:18" ht="18" customHeight="1" x14ac:dyDescent="0.25">
      <c r="B23" s="71"/>
      <c r="C23" s="193" t="s">
        <v>450</v>
      </c>
      <c r="D23" s="460" t="s">
        <v>423</v>
      </c>
      <c r="E23" s="72"/>
      <c r="F23" s="71"/>
      <c r="G23" s="71"/>
      <c r="H23" s="71"/>
      <c r="J23" s="2648"/>
      <c r="K23" s="2648"/>
      <c r="L23" s="2648"/>
      <c r="M23" s="2648"/>
      <c r="N23" s="2648"/>
      <c r="O23" s="2648"/>
      <c r="P23" s="2648"/>
      <c r="Q23" s="2648"/>
      <c r="R23" s="2648"/>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2677" t="s">
        <v>906</v>
      </c>
      <c r="E2" s="2678"/>
      <c r="F2" s="2679"/>
      <c r="G2" s="399"/>
      <c r="H2" s="2680" t="s">
        <v>5</v>
      </c>
      <c r="I2" s="2681"/>
      <c r="J2" s="2682"/>
      <c r="K2" s="399"/>
      <c r="L2" s="399"/>
      <c r="M2" s="399"/>
      <c r="N2" s="399"/>
      <c r="O2" s="800"/>
      <c r="P2" s="800" t="s">
        <v>6</v>
      </c>
      <c r="Q2" s="800"/>
      <c r="R2" s="800"/>
      <c r="S2" s="800"/>
      <c r="T2" s="800"/>
      <c r="U2" s="800"/>
      <c r="V2" s="2"/>
      <c r="W2" s="2"/>
      <c r="X2" s="2"/>
      <c r="Y2" s="2"/>
    </row>
    <row r="3" spans="1:25" ht="18" customHeight="1" x14ac:dyDescent="0.25">
      <c r="B3" s="399"/>
      <c r="C3" s="467" t="s">
        <v>437</v>
      </c>
      <c r="D3" s="2677" t="s">
        <v>907</v>
      </c>
      <c r="E3" s="2678"/>
      <c r="F3" s="2679"/>
      <c r="G3" s="399"/>
      <c r="H3" s="2683"/>
      <c r="I3" s="2684"/>
      <c r="J3" s="2685"/>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2666" t="s">
        <v>424</v>
      </c>
      <c r="M4" s="2667"/>
      <c r="N4" s="2667"/>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2668" t="str">
        <f>Apresentação!I2</f>
        <v>RC-RSU V.1.0 - 15/10/2020</v>
      </c>
      <c r="M5" s="2668"/>
      <c r="N5" s="2668"/>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1002</v>
      </c>
      <c r="G8" s="465" t="s">
        <v>1003</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2673" t="s">
        <v>839</v>
      </c>
      <c r="D16" s="2674"/>
      <c r="E16" s="2674"/>
      <c r="F16" s="2674"/>
      <c r="G16" s="2674"/>
      <c r="H16" s="2674"/>
      <c r="I16" s="2674"/>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2686" t="s">
        <v>16</v>
      </c>
      <c r="D23" s="2688" t="s">
        <v>684</v>
      </c>
      <c r="E23" s="2662"/>
      <c r="F23" s="2662"/>
      <c r="G23" s="2661" t="s">
        <v>740</v>
      </c>
      <c r="H23" s="2661" t="s">
        <v>17</v>
      </c>
      <c r="I23" s="2662"/>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2662"/>
      <c r="D24" s="2687" t="s">
        <v>18</v>
      </c>
      <c r="E24" s="2687" t="s">
        <v>19</v>
      </c>
      <c r="F24" s="2687" t="s">
        <v>20</v>
      </c>
      <c r="G24" s="2662"/>
      <c r="H24" s="2662"/>
      <c r="I24" s="2662"/>
      <c r="J24" s="465"/>
      <c r="K24" s="482"/>
      <c r="L24" s="465"/>
      <c r="M24" s="465"/>
      <c r="N24" s="399"/>
      <c r="O24" s="800"/>
      <c r="P24" s="800"/>
      <c r="Q24" s="800"/>
      <c r="R24" s="800"/>
      <c r="S24" s="800"/>
      <c r="T24" s="800"/>
      <c r="U24" s="800"/>
      <c r="V24" s="2"/>
      <c r="W24" s="6"/>
      <c r="X24" s="6"/>
      <c r="Y24" s="6"/>
    </row>
    <row r="25" spans="1:25" ht="30.4" customHeight="1" x14ac:dyDescent="0.25">
      <c r="B25" s="399"/>
      <c r="C25" s="2662"/>
      <c r="D25" s="2662"/>
      <c r="E25" s="2662"/>
      <c r="F25" s="2662"/>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2669">
        <f>E26+E27</f>
        <v>51.4</v>
      </c>
      <c r="I26" s="2671"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2670"/>
      <c r="I27" s="2672"/>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2669">
        <f>SUM(E28:E33)</f>
        <v>31.900000000000002</v>
      </c>
      <c r="I28" s="2671"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2670"/>
      <c r="I29" s="2672"/>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2670"/>
      <c r="I30" s="2672"/>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2670"/>
      <c r="I31" s="2672"/>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2670"/>
      <c r="I32" s="2672"/>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2670"/>
      <c r="I33" s="2672"/>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2669">
        <f>SUM(E34:E37)</f>
        <v>10.14</v>
      </c>
      <c r="I34" s="2676"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2670"/>
      <c r="I35" s="2672"/>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2670"/>
      <c r="I36" s="2672"/>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2670"/>
      <c r="I37" s="2672"/>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2669">
        <f>SUM(E38:E39)</f>
        <v>6.5600000000000023</v>
      </c>
      <c r="I38" s="2676"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2670"/>
      <c r="I39" s="2672"/>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2663" t="s">
        <v>48</v>
      </c>
      <c r="D51" s="2659" t="s">
        <v>459</v>
      </c>
      <c r="E51" s="2660"/>
      <c r="F51" s="2660"/>
      <c r="G51" s="2660"/>
      <c r="H51" s="2660"/>
      <c r="I51" s="2660"/>
      <c r="J51" s="2660"/>
      <c r="K51" s="2660"/>
      <c r="L51" s="2660"/>
      <c r="M51" s="2660"/>
      <c r="N51" s="2660"/>
      <c r="O51" s="800"/>
      <c r="P51" s="800"/>
      <c r="Q51" s="800"/>
      <c r="R51" s="800"/>
      <c r="S51" s="800"/>
      <c r="T51" s="800"/>
      <c r="U51" s="800"/>
      <c r="V51" s="2"/>
      <c r="W51" s="2"/>
      <c r="X51" s="2"/>
      <c r="Y51" s="2"/>
    </row>
    <row r="52" spans="1:25" ht="18" customHeight="1" x14ac:dyDescent="0.25">
      <c r="B52" s="399"/>
      <c r="C52" s="2664"/>
      <c r="D52" s="2657" t="s">
        <v>25</v>
      </c>
      <c r="E52" s="2664"/>
      <c r="F52" s="2665" t="s">
        <v>49</v>
      </c>
      <c r="G52" s="2657" t="s">
        <v>426</v>
      </c>
      <c r="H52" s="2664"/>
      <c r="I52" s="2657" t="s">
        <v>427</v>
      </c>
      <c r="J52" s="2657" t="s">
        <v>51</v>
      </c>
      <c r="K52" s="2664"/>
      <c r="L52" s="2657" t="s">
        <v>428</v>
      </c>
      <c r="M52" s="2658"/>
      <c r="N52" s="2675" t="s">
        <v>52</v>
      </c>
      <c r="O52" s="800"/>
      <c r="P52" s="800"/>
      <c r="Q52" s="800"/>
      <c r="R52" s="800"/>
      <c r="S52" s="800"/>
      <c r="T52" s="800"/>
      <c r="U52" s="800"/>
      <c r="V52" s="2"/>
      <c r="W52" s="2"/>
      <c r="X52" s="2"/>
      <c r="Y52" s="2"/>
    </row>
    <row r="53" spans="1:25" ht="31.15" customHeight="1" x14ac:dyDescent="0.25">
      <c r="B53" s="399"/>
      <c r="C53" s="2664"/>
      <c r="D53" s="441" t="s">
        <v>53</v>
      </c>
      <c r="E53" s="441" t="s">
        <v>54</v>
      </c>
      <c r="F53" s="2664"/>
      <c r="G53" s="441" t="s">
        <v>55</v>
      </c>
      <c r="H53" s="441" t="s">
        <v>56</v>
      </c>
      <c r="I53" s="2664"/>
      <c r="J53" s="441" t="s">
        <v>57</v>
      </c>
      <c r="K53" s="441" t="s">
        <v>461</v>
      </c>
      <c r="L53" s="441" t="s">
        <v>429</v>
      </c>
      <c r="M53" s="442" t="s">
        <v>460</v>
      </c>
      <c r="N53" s="2664"/>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2700" t="str">
        <f>IF('R-Entrada'!D2&lt;&gt;0,'R-Entrada'!D2,"")</f>
        <v>CIRSOP - Consórcio RSU Oeste Paulista</v>
      </c>
      <c r="E2" s="2701"/>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2700" t="str">
        <f>IF('R-Entrada'!D3&lt;&gt;0,'R-Entrada'!D3,"")</f>
        <v>Biodigestão c/ Prod. E. Elétrica</v>
      </c>
      <c r="E3" s="2701"/>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2680" t="s">
        <v>685</v>
      </c>
      <c r="G5" s="2689"/>
      <c r="H5" s="2690"/>
      <c r="I5" s="399"/>
      <c r="J5" s="122"/>
      <c r="K5" s="518" t="s">
        <v>674</v>
      </c>
      <c r="L5" s="399"/>
      <c r="M5" s="399"/>
      <c r="N5" s="2666" t="s">
        <v>424</v>
      </c>
      <c r="O5" s="2698"/>
      <c r="P5" s="2698"/>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2691"/>
      <c r="G6" s="2692"/>
      <c r="H6" s="2693"/>
      <c r="I6" s="468"/>
      <c r="J6" s="629"/>
      <c r="K6" s="518" t="s">
        <v>675</v>
      </c>
      <c r="L6" s="399"/>
      <c r="M6" s="399"/>
      <c r="N6" s="2668" t="str">
        <f>Apresentação!I2</f>
        <v>RC-RSU V.1.0 - 15/10/2020</v>
      </c>
      <c r="O6" s="2668"/>
      <c r="P6" s="2668"/>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2699" t="s">
        <v>462</v>
      </c>
      <c r="C8" s="2699"/>
      <c r="D8" s="2699"/>
      <c r="E8" s="2699"/>
      <c r="F8" s="2699"/>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2661" t="s">
        <v>48</v>
      </c>
      <c r="D10" s="2688" t="s">
        <v>459</v>
      </c>
      <c r="E10" s="2662"/>
      <c r="F10" s="2662"/>
      <c r="G10" s="2662"/>
      <c r="H10" s="2662"/>
      <c r="I10" s="2662"/>
      <c r="J10" s="2662"/>
      <c r="K10" s="2662"/>
      <c r="L10" s="2662"/>
      <c r="M10" s="2662"/>
      <c r="N10" s="2662"/>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2662"/>
      <c r="D11" s="2688" t="s">
        <v>25</v>
      </c>
      <c r="E11" s="2662"/>
      <c r="F11" s="2661" t="s">
        <v>49</v>
      </c>
      <c r="G11" s="2688" t="s">
        <v>426</v>
      </c>
      <c r="H11" s="2662"/>
      <c r="I11" s="2688" t="s">
        <v>427</v>
      </c>
      <c r="J11" s="2688" t="s">
        <v>51</v>
      </c>
      <c r="K11" s="2662"/>
      <c r="L11" s="2688" t="s">
        <v>428</v>
      </c>
      <c r="M11" s="2662"/>
      <c r="N11" s="2716"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2662"/>
      <c r="D12" s="444" t="s">
        <v>53</v>
      </c>
      <c r="E12" s="444" t="s">
        <v>54</v>
      </c>
      <c r="F12" s="2662"/>
      <c r="G12" s="444" t="s">
        <v>55</v>
      </c>
      <c r="H12" s="444" t="s">
        <v>56</v>
      </c>
      <c r="I12" s="2662"/>
      <c r="J12" s="444" t="s">
        <v>57</v>
      </c>
      <c r="K12" s="444" t="s">
        <v>461</v>
      </c>
      <c r="L12" s="444" t="s">
        <v>429</v>
      </c>
      <c r="M12" s="440" t="s">
        <v>460</v>
      </c>
      <c r="N12" s="2662"/>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1.7240985576923078</v>
      </c>
      <c r="M24" s="106">
        <f>IF($E$28="Sim",F$13*'R-Avançado'!$H$11/100*$E$29/$N$13,0)</f>
        <v>0</v>
      </c>
      <c r="N24" s="106">
        <f>IF($E$32="Sim",F$13*'R-Avançado'!$G$11/100*$E$33/$N$13,0)</f>
        <v>0</v>
      </c>
      <c r="O24" s="562">
        <f>IF(AND($I$25&gt;0,$I$24="Sim"),$I$27/$N$15*F$15*'R-Avançado'!$F$11/100,0)</f>
        <v>1.7240985576923078</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1.1713341346153847</v>
      </c>
      <c r="M25" s="106">
        <f>IF($E$28="Sim",G$13*'R-Avançado'!$H$11/100*$E$29/$N$13,0)</f>
        <v>0</v>
      </c>
      <c r="N25" s="106">
        <f>IF($E$32="Sim",G$13*'R-Avançado'!$G$11/100*$E$33/$N$13,0)</f>
        <v>0</v>
      </c>
      <c r="O25" s="562">
        <f>IF(AND($I$25&gt;0,$I$24="Sim"),$I$27/$N$15*G$15*'R-Avançado'!$F$11/100,0)</f>
        <v>1.1713341346153847</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12.5</v>
      </c>
      <c r="J26" s="2695" t="str">
        <f>IF(AND(I24="Sim",I27&lt;&gt;0,I27&lt;50),"Mín. é 50 t/d. Rever Célula I26","")</f>
        <v/>
      </c>
      <c r="K26" s="559" t="s">
        <v>77</v>
      </c>
      <c r="L26" s="105">
        <f t="shared" si="1"/>
        <v>0.60540865384615383</v>
      </c>
      <c r="M26" s="106">
        <f>IF($E$28="Sim",H$13*'R-Avançado'!$H$11/100*$E$29/$N$13,0)</f>
        <v>0</v>
      </c>
      <c r="N26" s="106">
        <f>IF($E$32="Sim",H$13*'R-Avançado'!$G$11/100*$E$33/$N$13,0)</f>
        <v>0</v>
      </c>
      <c r="O26" s="562">
        <f>IF(AND($I$25&gt;0,$I$24="Sim"),$I$27/$N$15*H$15*'R-Avançado'!$F$11/100,0)</f>
        <v>0.60540865384615383</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58.493589743589752</v>
      </c>
      <c r="J27" s="2696"/>
      <c r="K27" s="559" t="s">
        <v>31</v>
      </c>
      <c r="L27" s="105">
        <f t="shared" si="1"/>
        <v>0.31586538461538466</v>
      </c>
      <c r="M27" s="106">
        <f>IF($E$28="Sim",I$13*'R-Avançado'!$H$11/100*$E$29/$N$13,0)</f>
        <v>0</v>
      </c>
      <c r="N27" s="106">
        <f>IF($E$32="Sim",I$13*'R-Avançado'!$G$11/100*$E$33/$N$13,0)</f>
        <v>0</v>
      </c>
      <c r="O27" s="562">
        <f>IF(AND($I$25&gt;0,$I$24="Sim"),$I$27/$N$15*I$15*'R-Avançado'!$F$11/100,0)</f>
        <v>0.31586538461538466</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2695" t="str">
        <f>IF(E29&gt;100,"Máx. é 100 t/d. Rever Célula E25","")</f>
        <v/>
      </c>
      <c r="G28" s="572"/>
      <c r="H28" s="528" t="s">
        <v>80</v>
      </c>
      <c r="I28" s="776" t="s">
        <v>63</v>
      </c>
      <c r="J28" s="466"/>
      <c r="K28" s="559" t="s">
        <v>32</v>
      </c>
      <c r="L28" s="105">
        <f t="shared" si="1"/>
        <v>0.30270432692307692</v>
      </c>
      <c r="M28" s="106">
        <f>IF($E$28="Sim",J$13*'R-Avançado'!$H$11/100*$E$29/$N$13,0)</f>
        <v>0</v>
      </c>
      <c r="N28" s="106">
        <f>IF($E$32="Sim",J$13*'R-Avançado'!$G$11/100*$E$33/$N$13,0)</f>
        <v>0</v>
      </c>
      <c r="O28" s="562">
        <f>IF(AND($I$25&gt;0,$I$24="Sim"),$I$27/$N$15*J$15*'R-Avançado'!$F$11/100,0)</f>
        <v>0.30270432692307692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2696"/>
      <c r="G29" s="572"/>
      <c r="H29" s="528" t="s">
        <v>82</v>
      </c>
      <c r="I29" s="776" t="s">
        <v>63</v>
      </c>
      <c r="J29" s="466"/>
      <c r="K29" s="559" t="s">
        <v>83</v>
      </c>
      <c r="L29" s="105">
        <f t="shared" si="1"/>
        <v>7.8966346153846165E-2</v>
      </c>
      <c r="M29" s="106">
        <f>IF($E$28="Sim",K$13*'R-Avançado'!$H$11/100*$E$29/$N$13,0)</f>
        <v>0</v>
      </c>
      <c r="N29" s="106">
        <f>IF($E$32="Sim",K$13*'R-Avançado'!$G$11/100*$E$33/$N$13,0)</f>
        <v>0</v>
      </c>
      <c r="O29" s="562">
        <f>IF(AND($I$25&gt;0,$I$24="Sim"),$I$27/$N$15*K$15*'R-Avançado'!$F$11/100,0)</f>
        <v>7.8966346153846165E-2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2696"/>
      <c r="G30" s="399"/>
      <c r="H30" s="399"/>
      <c r="I30" s="399"/>
      <c r="J30" s="536"/>
      <c r="K30" s="560" t="s">
        <v>464</v>
      </c>
      <c r="L30" s="107">
        <f>SUM(L24:L29)</f>
        <v>4.1983774038461537</v>
      </c>
      <c r="M30" s="185">
        <f>SUM(M24:M29)</f>
        <v>0</v>
      </c>
      <c r="N30" s="185">
        <f>SUM(N24:N29)</f>
        <v>0</v>
      </c>
      <c r="O30" s="563">
        <f>SUM(O24:O29)</f>
        <v>4.1983774038461537</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2704" t="s">
        <v>84</v>
      </c>
      <c r="H31" s="2705"/>
      <c r="I31" s="2706"/>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2695" t="str">
        <f>IF(AND(E24&gt;0,E33&lt;50,E33&gt;0),"Mín. é 50 t/d. Rever Célula E25","")</f>
        <v/>
      </c>
      <c r="G32" s="565"/>
      <c r="H32" s="528" t="s">
        <v>91</v>
      </c>
      <c r="I32" s="660" t="s">
        <v>88</v>
      </c>
      <c r="J32" s="399"/>
      <c r="K32" s="217" t="s">
        <v>722</v>
      </c>
      <c r="L32" s="90">
        <f>O32+O33</f>
        <v>25.555849358974363</v>
      </c>
      <c r="M32" s="576"/>
      <c r="N32" s="804" t="s">
        <v>53</v>
      </c>
      <c r="O32" s="802">
        <f>IF(AND($I$25&gt;0,$I$24="Sim"),I27/N15*D15*'R-Avançado'!E11/100,0)</f>
        <v>24.064262820512823</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2696"/>
      <c r="G33" s="565"/>
      <c r="H33" s="528" t="s">
        <v>92</v>
      </c>
      <c r="I33" s="660" t="s">
        <v>88</v>
      </c>
      <c r="J33" s="399"/>
      <c r="K33" s="217" t="s">
        <v>723</v>
      </c>
      <c r="L33" s="90">
        <f>'R-Entrada'!E45</f>
        <v>0</v>
      </c>
      <c r="M33" s="577"/>
      <c r="N33" s="804" t="s">
        <v>54</v>
      </c>
      <c r="O33" s="802">
        <f>IF(AND($I$25&gt;0,$I$24="Sim"),I27/N15*E15*'R-Avançado'!E11/100,0)</f>
        <v>1.4915865384615383</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2696"/>
      <c r="G34" s="573"/>
      <c r="H34" s="528" t="s">
        <v>866</v>
      </c>
      <c r="I34" s="775" t="s">
        <v>88</v>
      </c>
      <c r="J34" s="399"/>
      <c r="K34" s="574" t="s">
        <v>728</v>
      </c>
      <c r="L34" s="90">
        <f>SUM(M34:O34)</f>
        <v>22.499559294871794</v>
      </c>
      <c r="M34" s="90">
        <f>IF(E28="Sim",E29*(1-'R-Avançado'!H11/100)*0.9,0)</f>
        <v>0</v>
      </c>
      <c r="N34" s="803">
        <f>IF(E32="Sim",E33*(1-'R-Avançado'!G11/100)*0.9,0)</f>
        <v>0</v>
      </c>
      <c r="O34" s="90">
        <f>D43+E43+F43+G43+H43+L43</f>
        <v>22.499559294871794</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6.2398036858974368</v>
      </c>
      <c r="M35" s="90">
        <f>IF(E28="Sim",E29*(1-'R-Avançado'!H11/100)*0.1,0)</f>
        <v>0</v>
      </c>
      <c r="N35" s="90">
        <f>IF(E32="Sim",E33*(1-'R-Avançado'!G11/100)*0.1,0)</f>
        <v>0</v>
      </c>
      <c r="O35" s="90">
        <f>M43+K43+J43+I43</f>
        <v>6.2398036858974368</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2657" t="s">
        <v>465</v>
      </c>
      <c r="E38" s="2664"/>
      <c r="F38" s="2664"/>
      <c r="G38" s="2664"/>
      <c r="H38" s="2664"/>
      <c r="I38" s="2664"/>
      <c r="J38" s="2664"/>
      <c r="K38" s="2664"/>
      <c r="L38" s="2664"/>
      <c r="M38" s="2664"/>
      <c r="N38" s="2664"/>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2657" t="s">
        <v>25</v>
      </c>
      <c r="E39" s="2694"/>
      <c r="F39" s="2665" t="s">
        <v>49</v>
      </c>
      <c r="G39" s="2657" t="s">
        <v>426</v>
      </c>
      <c r="H39" s="2694"/>
      <c r="I39" s="2657" t="s">
        <v>50</v>
      </c>
      <c r="J39" s="2657" t="s">
        <v>51</v>
      </c>
      <c r="K39" s="2694"/>
      <c r="L39" s="2657" t="s">
        <v>428</v>
      </c>
      <c r="M39" s="2694"/>
      <c r="N39" s="2675"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2697"/>
      <c r="G40" s="441" t="s">
        <v>55</v>
      </c>
      <c r="H40" s="441" t="s">
        <v>56</v>
      </c>
      <c r="I40" s="2694"/>
      <c r="J40" s="441" t="s">
        <v>57</v>
      </c>
      <c r="K40" s="441" t="s">
        <v>461</v>
      </c>
      <c r="L40" s="441" t="s">
        <v>429</v>
      </c>
      <c r="M40" s="442" t="s">
        <v>460</v>
      </c>
      <c r="N40" s="2694"/>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28.310897435897438</v>
      </c>
      <c r="E41" s="112">
        <f t="shared" si="2"/>
        <v>1.7548076923076923</v>
      </c>
      <c r="F41" s="112">
        <f t="shared" si="2"/>
        <v>7.6626602564102564</v>
      </c>
      <c r="G41" s="112">
        <f t="shared" si="2"/>
        <v>5.2059294871794872</v>
      </c>
      <c r="H41" s="112">
        <f t="shared" si="2"/>
        <v>2.6907051282051282</v>
      </c>
      <c r="I41" s="112">
        <f t="shared" si="2"/>
        <v>1.403846153846154</v>
      </c>
      <c r="J41" s="112">
        <f t="shared" si="2"/>
        <v>1.3453525641025641</v>
      </c>
      <c r="K41" s="112">
        <f t="shared" si="2"/>
        <v>0.35096153846153849</v>
      </c>
      <c r="L41" s="112">
        <f t="shared" si="2"/>
        <v>5.9312500000000004</v>
      </c>
      <c r="M41" s="112">
        <f t="shared" si="2"/>
        <v>3.8371794871794886</v>
      </c>
      <c r="N41" s="90">
        <f>SUM(D41:M41)</f>
        <v>58.493589743589752</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24.064262820512823</v>
      </c>
      <c r="E42" s="112">
        <f>O33</f>
        <v>1.4915865384615383</v>
      </c>
      <c r="F42" s="112">
        <f>O24</f>
        <v>1.7240985576923078</v>
      </c>
      <c r="G42" s="112">
        <f>O25</f>
        <v>1.1713341346153847</v>
      </c>
      <c r="H42" s="112">
        <f>O26</f>
        <v>0.60540865384615383</v>
      </c>
      <c r="I42" s="112">
        <f>O27</f>
        <v>0.31586538461538466</v>
      </c>
      <c r="J42" s="112">
        <f>O28</f>
        <v>0.30270432692307692</v>
      </c>
      <c r="K42" s="112">
        <f>O29</f>
        <v>7.8966346153846165E-2</v>
      </c>
      <c r="L42" s="112">
        <v>0</v>
      </c>
      <c r="M42" s="112">
        <v>0</v>
      </c>
      <c r="N42" s="90">
        <f>SUM(D42:M42)</f>
        <v>29.754226762820519</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4.2466346153846146</v>
      </c>
      <c r="E43" s="113">
        <f t="shared" si="3"/>
        <v>0.26322115384615397</v>
      </c>
      <c r="F43" s="113">
        <f t="shared" si="3"/>
        <v>5.9385616987179484</v>
      </c>
      <c r="G43" s="113">
        <f t="shared" si="3"/>
        <v>4.0345953525641027</v>
      </c>
      <c r="H43" s="113">
        <f t="shared" si="3"/>
        <v>2.0852964743589744</v>
      </c>
      <c r="I43" s="113">
        <f t="shared" si="3"/>
        <v>1.0879807692307693</v>
      </c>
      <c r="J43" s="113">
        <f t="shared" si="3"/>
        <v>1.0426482371794872</v>
      </c>
      <c r="K43" s="113">
        <f t="shared" si="3"/>
        <v>0.27199519230769231</v>
      </c>
      <c r="L43" s="113">
        <f t="shared" si="3"/>
        <v>5.9312500000000004</v>
      </c>
      <c r="M43" s="113">
        <f t="shared" si="3"/>
        <v>3.8371794871794886</v>
      </c>
      <c r="N43" s="90">
        <f>SUM(D43:M43)</f>
        <v>28.739362980769229</v>
      </c>
      <c r="O43" s="483"/>
      <c r="P43" s="438"/>
      <c r="Q43" s="479"/>
      <c r="R43" s="479"/>
      <c r="S43" s="479" t="s">
        <v>61</v>
      </c>
      <c r="T43" s="479">
        <f>IF($I$28="CDR",O34,0)</f>
        <v>0</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198.17628205128207</v>
      </c>
      <c r="E44" s="90">
        <f t="shared" si="4"/>
        <v>12.283653846153847</v>
      </c>
      <c r="F44" s="90">
        <f t="shared" si="4"/>
        <v>53.638621794871796</v>
      </c>
      <c r="G44" s="90">
        <f t="shared" si="4"/>
        <v>36.441506410256409</v>
      </c>
      <c r="H44" s="90">
        <f t="shared" si="4"/>
        <v>18.834935897435898</v>
      </c>
      <c r="I44" s="90">
        <f t="shared" si="4"/>
        <v>9.8269230769230784</v>
      </c>
      <c r="J44" s="90">
        <f t="shared" si="4"/>
        <v>9.4174679487179489</v>
      </c>
      <c r="K44" s="90">
        <f t="shared" si="4"/>
        <v>2.4567307692307696</v>
      </c>
      <c r="L44" s="90">
        <f t="shared" si="4"/>
        <v>41.518750000000004</v>
      </c>
      <c r="M44" s="90">
        <f t="shared" si="4"/>
        <v>26.860256410256419</v>
      </c>
      <c r="N44" s="90">
        <f>SUM(D44:M44)</f>
        <v>409.45512820512829</v>
      </c>
      <c r="O44" s="483"/>
      <c r="P44" s="438"/>
      <c r="Q44" s="479"/>
      <c r="R44" s="479" t="s">
        <v>98</v>
      </c>
      <c r="S44" s="479" t="s">
        <v>63</v>
      </c>
      <c r="T44" s="479">
        <f>IF($I$28="Incineração",O34+O35,0)</f>
        <v>28.739362980769229</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0</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0</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0</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0</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0</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100</v>
      </c>
      <c r="K59" s="583" t="str">
        <f>IF(J59&lt;&gt;0,"&gt;&gt;&gt;&gt;","")</f>
        <v>&gt;&gt;&gt;&gt;</v>
      </c>
      <c r="L59" s="584">
        <f>IF(J59&gt;0,J59/100*E60,"")</f>
        <v>0</v>
      </c>
      <c r="M59" s="575" t="str">
        <f>IF(J59&gt;0,"t/d","")</f>
        <v>t/d</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0</v>
      </c>
      <c r="K60" s="400" t="str">
        <f>IF(J60&lt;&gt;0,"&gt;&gt;&gt;&gt;","")</f>
        <v/>
      </c>
      <c r="L60" s="582" t="str">
        <f>IF(J60&gt;0,J60/100*E60,"")</f>
        <v/>
      </c>
      <c r="M60" s="401" t="str">
        <f>IF(J60&gt;0,"t/d","")</f>
        <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2702" t="s">
        <v>112</v>
      </c>
      <c r="O61" s="2703"/>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2711" t="s">
        <v>125</v>
      </c>
      <c r="J72" s="2712"/>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2709" t="s">
        <v>484</v>
      </c>
      <c r="E77" s="2710"/>
      <c r="F77" s="2710"/>
      <c r="G77" s="2710"/>
      <c r="H77" s="2710"/>
      <c r="I77" s="2710"/>
      <c r="J77" s="2710"/>
      <c r="K77" s="2710"/>
      <c r="L77" s="2710"/>
      <c r="M77" s="2710"/>
      <c r="N77" s="2710"/>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2709" t="s">
        <v>25</v>
      </c>
      <c r="E78" s="2710"/>
      <c r="F78" s="2714" t="s">
        <v>49</v>
      </c>
      <c r="G78" s="2709" t="s">
        <v>426</v>
      </c>
      <c r="H78" s="2710"/>
      <c r="I78" s="2709" t="s">
        <v>427</v>
      </c>
      <c r="J78" s="2709" t="s">
        <v>51</v>
      </c>
      <c r="K78" s="2710"/>
      <c r="L78" s="2709" t="s">
        <v>428</v>
      </c>
      <c r="M78" s="2710"/>
      <c r="N78" s="2713"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2715"/>
      <c r="G79" s="445" t="s">
        <v>55</v>
      </c>
      <c r="H79" s="445" t="s">
        <v>56</v>
      </c>
      <c r="I79" s="2710"/>
      <c r="J79" s="445" t="s">
        <v>57</v>
      </c>
      <c r="K79" s="445" t="s">
        <v>461</v>
      </c>
      <c r="L79" s="445" t="s">
        <v>429</v>
      </c>
      <c r="M79" s="446" t="s">
        <v>460</v>
      </c>
      <c r="N79" s="2710"/>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202.42291666666668</v>
      </c>
      <c r="E80" s="125">
        <f t="shared" si="5"/>
        <v>12.546875</v>
      </c>
      <c r="F80" s="125">
        <f t="shared" si="5"/>
        <v>59.577183493589743</v>
      </c>
      <c r="G80" s="125">
        <f t="shared" si="5"/>
        <v>40.476101762820512</v>
      </c>
      <c r="H80" s="125">
        <f t="shared" si="5"/>
        <v>20.920232371794871</v>
      </c>
      <c r="I80" s="125">
        <f t="shared" si="5"/>
        <v>10.914903846153848</v>
      </c>
      <c r="J80" s="125">
        <f t="shared" si="5"/>
        <v>10.460116185897435</v>
      </c>
      <c r="K80" s="125">
        <f t="shared" si="5"/>
        <v>2.728725961538462</v>
      </c>
      <c r="L80" s="125">
        <f t="shared" si="5"/>
        <v>47.45</v>
      </c>
      <c r="M80" s="125">
        <f t="shared" si="5"/>
        <v>30.697435897435909</v>
      </c>
      <c r="N80" s="599">
        <f>SUM(D80:M80)</f>
        <v>438.1944911858975</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198.17628205128207</v>
      </c>
      <c r="E81" s="130">
        <f t="shared" si="6"/>
        <v>12.283653846153847</v>
      </c>
      <c r="F81" s="130">
        <f t="shared" si="6"/>
        <v>53.638621794871796</v>
      </c>
      <c r="G81" s="130">
        <f t="shared" si="6"/>
        <v>36.441506410256409</v>
      </c>
      <c r="H81" s="130">
        <f t="shared" si="6"/>
        <v>18.834935897435898</v>
      </c>
      <c r="I81" s="130">
        <f t="shared" si="6"/>
        <v>9.8269230769230784</v>
      </c>
      <c r="J81" s="130">
        <f t="shared" si="6"/>
        <v>9.4174679487179489</v>
      </c>
      <c r="K81" s="130">
        <f t="shared" si="6"/>
        <v>2.4567307692307696</v>
      </c>
      <c r="L81" s="130">
        <f t="shared" si="6"/>
        <v>41.518750000000004</v>
      </c>
      <c r="M81" s="130">
        <f t="shared" si="6"/>
        <v>26.860256410256419</v>
      </c>
      <c r="N81" s="600">
        <f>SUM(D81:M81)</f>
        <v>409.45512820512829</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4.2466346153846146</v>
      </c>
      <c r="E82" s="130">
        <f t="shared" si="7"/>
        <v>0.26322115384615397</v>
      </c>
      <c r="F82" s="130">
        <f t="shared" si="7"/>
        <v>5.9385616987179484</v>
      </c>
      <c r="G82" s="130">
        <f t="shared" si="7"/>
        <v>4.0345953525641027</v>
      </c>
      <c r="H82" s="130">
        <f t="shared" si="7"/>
        <v>2.0852964743589744</v>
      </c>
      <c r="I82" s="130">
        <f t="shared" si="7"/>
        <v>1.0879807692307693</v>
      </c>
      <c r="J82" s="130">
        <f t="shared" si="7"/>
        <v>1.0426482371794872</v>
      </c>
      <c r="K82" s="130">
        <f t="shared" si="7"/>
        <v>0.27199519230769231</v>
      </c>
      <c r="L82" s="130">
        <f t="shared" si="7"/>
        <v>5.9312500000000004</v>
      </c>
      <c r="M82" s="130">
        <f t="shared" si="7"/>
        <v>3.8371794871794886</v>
      </c>
      <c r="N82" s="600">
        <f>SUM(D82:M82)</f>
        <v>28.739362980769229</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0</v>
      </c>
      <c r="E86" s="186">
        <f t="shared" si="8"/>
        <v>0</v>
      </c>
      <c r="F86" s="186">
        <f t="shared" si="8"/>
        <v>0</v>
      </c>
      <c r="G86" s="186">
        <f t="shared" si="8"/>
        <v>0</v>
      </c>
      <c r="H86" s="186">
        <f t="shared" si="8"/>
        <v>0</v>
      </c>
      <c r="I86" s="186">
        <f t="shared" si="8"/>
        <v>0</v>
      </c>
      <c r="J86" s="186">
        <f t="shared" si="8"/>
        <v>0</v>
      </c>
      <c r="K86" s="186">
        <f t="shared" si="8"/>
        <v>0</v>
      </c>
      <c r="L86" s="186">
        <f t="shared" si="8"/>
        <v>0</v>
      </c>
      <c r="M86" s="186">
        <f t="shared" si="8"/>
        <v>0</v>
      </c>
      <c r="N86" s="186">
        <f>SUM(D86:M86)</f>
        <v>0</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0</v>
      </c>
      <c r="E87" s="132">
        <f>IF($E$51&gt;0,E43,0)</f>
        <v>0</v>
      </c>
      <c r="F87" s="132">
        <f>IF($E$51&gt;0,F43,0)</f>
        <v>0</v>
      </c>
      <c r="G87" s="132">
        <f>IF($E$51&gt;0,G43,0)</f>
        <v>0</v>
      </c>
      <c r="H87" s="132">
        <f>IF($E$51&gt;0,H43,0)</f>
        <v>0</v>
      </c>
      <c r="I87" s="123"/>
      <c r="J87" s="123"/>
      <c r="K87" s="123"/>
      <c r="L87" s="144">
        <f>IF($E$51&gt;0,L43,0)</f>
        <v>0</v>
      </c>
      <c r="M87" s="132"/>
      <c r="N87" s="607">
        <f>SUM(D87:M87)</f>
        <v>0</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202.42291666666668</v>
      </c>
      <c r="E90" s="125">
        <f t="shared" si="9"/>
        <v>12.546875</v>
      </c>
      <c r="F90" s="125">
        <f t="shared" si="9"/>
        <v>59.577183493589743</v>
      </c>
      <c r="G90" s="125">
        <f t="shared" si="9"/>
        <v>40.476101762820512</v>
      </c>
      <c r="H90" s="125">
        <f t="shared" si="9"/>
        <v>20.920232371794871</v>
      </c>
      <c r="I90" s="125">
        <f t="shared" si="9"/>
        <v>10.914903846153848</v>
      </c>
      <c r="J90" s="125">
        <f t="shared" si="9"/>
        <v>10.460116185897435</v>
      </c>
      <c r="K90" s="125">
        <f t="shared" si="9"/>
        <v>2.728725961538462</v>
      </c>
      <c r="L90" s="125">
        <f t="shared" si="9"/>
        <v>47.45</v>
      </c>
      <c r="M90" s="125">
        <f t="shared" si="9"/>
        <v>30.697435897435909</v>
      </c>
      <c r="N90" s="599">
        <f>SUM(D90:M90)</f>
        <v>438.1944911858975</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226.4871794871795</v>
      </c>
      <c r="E92" s="186">
        <f>E90-E94+E97+(IF(I29="Incineração",O33,0))</f>
        <v>14.038461538461538</v>
      </c>
      <c r="F92" s="186">
        <f t="shared" ref="F92:L92" si="10">F90-F94</f>
        <v>59.577183493589743</v>
      </c>
      <c r="G92" s="186">
        <f t="shared" si="10"/>
        <v>40.476101762820512</v>
      </c>
      <c r="H92" s="186">
        <f t="shared" si="10"/>
        <v>20.920232371794871</v>
      </c>
      <c r="I92" s="186">
        <f t="shared" si="10"/>
        <v>10.914903846153848</v>
      </c>
      <c r="J92" s="186">
        <f t="shared" si="10"/>
        <v>10.460116185897435</v>
      </c>
      <c r="K92" s="186">
        <f t="shared" si="10"/>
        <v>2.728725961538462</v>
      </c>
      <c r="L92" s="186">
        <f t="shared" si="10"/>
        <v>47.45</v>
      </c>
      <c r="M92" s="186">
        <f>M90-M94+M100+M101</f>
        <v>30.697435897435909</v>
      </c>
      <c r="N92" s="186">
        <f>SUM(D92:M93)</f>
        <v>463.7503405448719</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0</v>
      </c>
      <c r="J94" s="186">
        <f t="shared" si="11"/>
        <v>0</v>
      </c>
      <c r="K94" s="186">
        <f t="shared" si="11"/>
        <v>0</v>
      </c>
      <c r="L94" s="186">
        <f t="shared" si="11"/>
        <v>0</v>
      </c>
      <c r="M94" s="186">
        <f>SUM(M95:M101)</f>
        <v>92.750068108974375</v>
      </c>
      <c r="N94" s="186">
        <f t="shared" ref="N94:N101" si="12">SUM(D94:M94)</f>
        <v>92.750068108974375</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0</v>
      </c>
      <c r="J96" s="130">
        <f t="shared" si="14"/>
        <v>0</v>
      </c>
      <c r="K96" s="130">
        <f t="shared" si="14"/>
        <v>0</v>
      </c>
      <c r="L96" s="130">
        <f>IF(OR($I$28="Incineração",I28="CDR"),0,L43)</f>
        <v>0</v>
      </c>
      <c r="M96" s="130">
        <f>IF($I$28="Incineração",0,M43)</f>
        <v>0</v>
      </c>
      <c r="N96" s="600">
        <f t="shared" si="12"/>
        <v>0</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0</v>
      </c>
      <c r="N100" s="600">
        <f t="shared" si="12"/>
        <v>0</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92.750068108974375</v>
      </c>
      <c r="N101" s="600">
        <f t="shared" si="12"/>
        <v>92.750068108974375</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409.45512820512829</v>
      </c>
      <c r="F107" s="546" t="str">
        <f>IF(AND(H106="Sim",E107=0),"Valor '0,00', mesmo com 'Sim' porque não há mistos sem triagem disponíveis","")</f>
        <v/>
      </c>
      <c r="G107" s="515"/>
      <c r="H107" s="515"/>
      <c r="I107" s="515"/>
      <c r="J107" s="515"/>
      <c r="K107" s="515"/>
      <c r="L107" s="611"/>
      <c r="M107" s="549"/>
      <c r="N107" s="116" t="s">
        <v>482</v>
      </c>
      <c r="O107" s="614">
        <f>IF(E112&gt;0,K112*J90*(E110/E112+E107/E112)*(E110+E107)/E112,0)</f>
        <v>8.4051285843579961</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
      </c>
      <c r="G108" s="515"/>
      <c r="H108" s="547"/>
      <c r="I108" s="515"/>
      <c r="J108" s="545"/>
      <c r="K108" s="515"/>
      <c r="L108" s="611"/>
      <c r="M108" s="549"/>
      <c r="N108" s="116" t="s">
        <v>152</v>
      </c>
      <c r="O108" s="614">
        <f>IF(E112&gt;0,K90*K112*(E107/E112+E110/E112)*(E107+E110)/E112,0)</f>
        <v>2.1926422393977383</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2707" t="str">
        <f>IF(AND(E112&gt;0,E112&lt;500),"Cap. mín. é 500 t/d.  Rever envios à incineração em H106, E30, E34 ou I28","")</f>
        <v>Cap. mín. é 500 t/d.  Rever envios à incineração em H106, E30, E34 ou I28</v>
      </c>
      <c r="G109" s="789"/>
      <c r="H109" s="137"/>
      <c r="I109" s="109" t="s">
        <v>153</v>
      </c>
      <c r="J109" s="187">
        <f>'R-Avançado'!F28</f>
        <v>22.68</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28.739362980769229</v>
      </c>
      <c r="F110" s="2708"/>
      <c r="G110" s="550"/>
      <c r="H110" s="550"/>
      <c r="I110" s="550"/>
      <c r="J110" s="554"/>
      <c r="K110" s="609"/>
      <c r="L110" s="611"/>
      <c r="M110" s="549"/>
      <c r="N110" s="116" t="s">
        <v>155</v>
      </c>
      <c r="O110" s="614">
        <f>(E112*J111/100)*(1-J113/100)</f>
        <v>92.750068108974375</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25.555849358974363</v>
      </c>
      <c r="F111" s="2708"/>
      <c r="G111" s="611"/>
      <c r="H111" s="552"/>
      <c r="I111" s="109" t="s">
        <v>156</v>
      </c>
      <c r="J111" s="187">
        <f>'R-Avançado'!F29</f>
        <v>20</v>
      </c>
      <c r="K111" s="610"/>
      <c r="L111" s="611"/>
      <c r="M111" s="549"/>
      <c r="N111" s="116" t="s">
        <v>134</v>
      </c>
      <c r="O111" s="615">
        <f>E112*E114*J109/100</f>
        <v>283204.29113904067</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463.75034054487185</v>
      </c>
      <c r="F112" s="2708"/>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2708"/>
      <c r="G113" s="137"/>
      <c r="H113" s="137"/>
      <c r="I113" s="109" t="s">
        <v>159</v>
      </c>
      <c r="J113" s="138">
        <v>0</v>
      </c>
      <c r="K113" s="610"/>
      <c r="L113" s="611"/>
      <c r="M113" s="549"/>
      <c r="N113" s="116" t="s">
        <v>160</v>
      </c>
      <c r="O113" s="612">
        <f>E112*(1-J111/100)-O107-O108</f>
        <v>360.40250161214175</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2692.6043171769206</v>
      </c>
      <c r="F114" s="2708"/>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2708"/>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92.750068108974375</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64.925047676282063</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4" sqref="F14"/>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2738" t="str">
        <f>IF('R-Entrada'!D2&lt;&gt;0,'R-Entrada'!D2,"")</f>
        <v>CIRSOP - Consórcio RSU Oeste Paulista</v>
      </c>
      <c r="E2" s="2739"/>
      <c r="F2" s="433"/>
      <c r="G2" s="433"/>
      <c r="H2" s="433"/>
      <c r="I2" s="433"/>
      <c r="J2" s="433"/>
      <c r="K2" s="433"/>
      <c r="L2" s="433"/>
      <c r="M2" s="433"/>
      <c r="N2" s="433"/>
      <c r="O2" s="433"/>
      <c r="P2" s="433"/>
      <c r="Q2" s="433"/>
      <c r="R2" s="433"/>
      <c r="S2" s="433"/>
      <c r="T2" s="433"/>
      <c r="U2" s="433"/>
    </row>
    <row r="3" spans="1:21" ht="15" customHeight="1" x14ac:dyDescent="0.25">
      <c r="B3" s="433"/>
      <c r="C3" s="415" t="s">
        <v>437</v>
      </c>
      <c r="D3" s="2738" t="str">
        <f>IF('R-Entrada'!D3&lt;&gt;0,'R-Entrada'!D3,"")</f>
        <v>Biodigestão c/ Prod. E. Elétrica</v>
      </c>
      <c r="E3" s="2739"/>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2740" t="s">
        <v>424</v>
      </c>
      <c r="O5" s="2741"/>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2668" t="str">
        <f>Apresentação!I2</f>
        <v>RC-RSU V.1.0 - 15/10/2020</v>
      </c>
      <c r="O6" s="2741"/>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2725" t="s">
        <v>864</v>
      </c>
      <c r="F8" s="2726"/>
      <c r="G8" s="2726"/>
      <c r="H8" s="2727"/>
      <c r="I8" s="433"/>
      <c r="J8" s="2731"/>
      <c r="K8" s="2732"/>
      <c r="L8" s="2728" t="s">
        <v>185</v>
      </c>
      <c r="M8" s="2728" t="s">
        <v>486</v>
      </c>
      <c r="N8" s="433"/>
      <c r="O8" s="433"/>
      <c r="P8" s="433"/>
      <c r="Q8" s="433"/>
      <c r="R8" s="433"/>
      <c r="S8" s="433"/>
      <c r="T8" s="433"/>
      <c r="U8" s="433"/>
    </row>
    <row r="9" spans="1:21" ht="18" customHeight="1" x14ac:dyDescent="0.25">
      <c r="A9" s="433"/>
      <c r="B9" s="433"/>
      <c r="C9" s="433"/>
      <c r="D9" s="2717"/>
      <c r="E9" s="675" t="s">
        <v>25</v>
      </c>
      <c r="F9" s="2725" t="s">
        <v>865</v>
      </c>
      <c r="G9" s="2726"/>
      <c r="H9" s="2727"/>
      <c r="I9" s="433"/>
      <c r="J9" s="2733"/>
      <c r="K9" s="2734"/>
      <c r="L9" s="2729"/>
      <c r="M9" s="2729"/>
      <c r="N9" s="433"/>
      <c r="O9" s="433"/>
      <c r="P9" s="433"/>
      <c r="Q9" s="433"/>
      <c r="R9" s="433"/>
      <c r="S9" s="433"/>
      <c r="T9" s="433"/>
      <c r="U9" s="433"/>
    </row>
    <row r="10" spans="1:21" ht="18" customHeight="1" x14ac:dyDescent="0.25">
      <c r="A10" s="433"/>
      <c r="B10" s="433"/>
      <c r="C10" s="433"/>
      <c r="D10" s="2718"/>
      <c r="E10" s="456" t="s">
        <v>679</v>
      </c>
      <c r="F10" s="456" t="s">
        <v>679</v>
      </c>
      <c r="G10" s="456" t="s">
        <v>680</v>
      </c>
      <c r="H10" s="456" t="s">
        <v>508</v>
      </c>
      <c r="I10" s="433"/>
      <c r="J10" s="2735"/>
      <c r="K10" s="2736"/>
      <c r="L10" s="2729"/>
      <c r="M10" s="2729"/>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22.5</v>
      </c>
      <c r="G11" s="836">
        <f>IF('R-Definição'!I33="Alta",G12,G13)</f>
        <v>50</v>
      </c>
      <c r="H11" s="836">
        <f>IF('R-Definição'!I32="Alta",H12,H13)</f>
        <v>35</v>
      </c>
      <c r="I11" s="433"/>
      <c r="J11" s="2730" t="s">
        <v>487</v>
      </c>
      <c r="K11" s="2730"/>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2730" t="s">
        <v>488</v>
      </c>
      <c r="K12" s="2730"/>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2719" t="s">
        <v>190</v>
      </c>
      <c r="E17" s="453" t="s">
        <v>191</v>
      </c>
      <c r="F17" s="453" t="s">
        <v>905</v>
      </c>
      <c r="G17" s="433"/>
      <c r="H17" s="2721"/>
      <c r="I17" s="2721" t="s">
        <v>192</v>
      </c>
      <c r="J17" s="2710"/>
      <c r="K17" s="433"/>
      <c r="L17" s="2720" t="s">
        <v>692</v>
      </c>
      <c r="M17" s="2694"/>
      <c r="N17" s="433"/>
      <c r="O17" s="433"/>
      <c r="P17" s="433"/>
      <c r="Q17" s="433"/>
      <c r="R17" s="433"/>
      <c r="S17" s="433"/>
      <c r="T17" s="433"/>
      <c r="U17" s="433"/>
    </row>
    <row r="18" spans="1:21" ht="18" customHeight="1" x14ac:dyDescent="0.25">
      <c r="A18" s="433"/>
      <c r="B18" s="433"/>
      <c r="C18" s="657"/>
      <c r="D18" s="2710"/>
      <c r="E18" s="453" t="s">
        <v>968</v>
      </c>
      <c r="F18" s="453" t="s">
        <v>904</v>
      </c>
      <c r="G18" s="433"/>
      <c r="H18" s="2710"/>
      <c r="I18" s="453" t="s">
        <v>188</v>
      </c>
      <c r="J18" s="646" t="s">
        <v>131</v>
      </c>
      <c r="K18" s="433"/>
      <c r="L18" s="2694"/>
      <c r="M18" s="2694"/>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2722" t="s">
        <v>693</v>
      </c>
      <c r="E23" s="2723"/>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2722" t="s">
        <v>489</v>
      </c>
      <c r="E24" s="2723"/>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2746"/>
      <c r="D27" s="2747"/>
      <c r="E27" s="2747"/>
      <c r="F27" s="306" t="s">
        <v>194</v>
      </c>
      <c r="G27" s="433"/>
      <c r="H27" s="2724" t="s">
        <v>490</v>
      </c>
      <c r="I27" s="2694"/>
      <c r="J27" s="2694"/>
      <c r="K27" s="433"/>
      <c r="L27" s="2745"/>
      <c r="M27" s="2710"/>
      <c r="N27" s="2710"/>
      <c r="O27" s="453" t="s">
        <v>240</v>
      </c>
      <c r="P27" s="433"/>
      <c r="Q27" s="433"/>
      <c r="R27" s="433"/>
      <c r="S27" s="433"/>
      <c r="T27" s="433"/>
      <c r="U27" s="433"/>
    </row>
    <row r="28" spans="1:21" ht="18" customHeight="1" x14ac:dyDescent="0.25">
      <c r="A28" s="433"/>
      <c r="B28" s="433"/>
      <c r="C28" s="2722" t="s">
        <v>694</v>
      </c>
      <c r="D28" s="2723"/>
      <c r="E28" s="2723"/>
      <c r="F28" s="1484">
        <f>((0.54+0.09)/2.5)*100*1*90%</f>
        <v>22.68</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2722" t="s">
        <v>195</v>
      </c>
      <c r="D29" s="2723"/>
      <c r="E29" s="2723"/>
      <c r="F29" s="199">
        <v>20</v>
      </c>
      <c r="G29" s="433"/>
      <c r="H29" s="199">
        <v>50</v>
      </c>
      <c r="I29" s="199">
        <v>30</v>
      </c>
      <c r="J29" s="199">
        <v>10</v>
      </c>
      <c r="K29" s="433"/>
      <c r="L29" s="2730" t="s">
        <v>492</v>
      </c>
      <c r="M29" s="2737"/>
      <c r="N29" s="2737"/>
      <c r="O29" s="1376">
        <v>35</v>
      </c>
      <c r="P29" s="433"/>
      <c r="Q29" s="433"/>
      <c r="R29" s="433"/>
      <c r="S29" s="433"/>
      <c r="T29" s="433"/>
      <c r="U29" s="433"/>
    </row>
    <row r="30" spans="1:21" ht="18" customHeight="1" x14ac:dyDescent="0.25">
      <c r="A30" s="433"/>
      <c r="B30" s="433"/>
      <c r="C30" s="2722" t="s">
        <v>158</v>
      </c>
      <c r="D30" s="2723"/>
      <c r="E30" s="2723"/>
      <c r="F30" s="199">
        <v>90</v>
      </c>
      <c r="G30" s="433"/>
      <c r="H30" s="158"/>
      <c r="I30" s="198"/>
      <c r="J30" s="158"/>
      <c r="K30" s="433"/>
      <c r="L30" s="2730" t="s">
        <v>695</v>
      </c>
      <c r="M30" s="2737"/>
      <c r="N30" s="2737"/>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2743"/>
      <c r="C33" s="2744"/>
      <c r="D33" s="2744"/>
      <c r="E33" s="2657" t="s">
        <v>197</v>
      </c>
      <c r="F33" s="2694"/>
      <c r="G33" s="2694"/>
      <c r="H33" s="2694"/>
      <c r="I33" s="2694"/>
      <c r="J33" s="2694"/>
      <c r="K33" s="2694"/>
      <c r="L33" s="2694"/>
      <c r="M33" s="2694"/>
      <c r="N33" s="2694"/>
      <c r="O33" s="433"/>
      <c r="P33" s="433"/>
      <c r="Q33" s="433"/>
      <c r="R33" s="433"/>
      <c r="S33" s="433"/>
      <c r="T33" s="433"/>
      <c r="U33" s="433"/>
    </row>
    <row r="34" spans="1:21" ht="18" customHeight="1" x14ac:dyDescent="0.25">
      <c r="A34" s="433"/>
      <c r="B34" s="2744"/>
      <c r="C34" s="2744"/>
      <c r="D34" s="2744"/>
      <c r="E34" s="2657" t="s">
        <v>25</v>
      </c>
      <c r="F34" s="2694"/>
      <c r="G34" s="2665" t="s">
        <v>49</v>
      </c>
      <c r="H34" s="2657" t="s">
        <v>426</v>
      </c>
      <c r="I34" s="2694"/>
      <c r="J34" s="2657" t="s">
        <v>427</v>
      </c>
      <c r="K34" s="2657" t="s">
        <v>51</v>
      </c>
      <c r="L34" s="2694"/>
      <c r="M34" s="2657" t="s">
        <v>428</v>
      </c>
      <c r="N34" s="2694"/>
      <c r="O34" s="433"/>
      <c r="P34" s="433"/>
      <c r="Q34" s="433"/>
      <c r="R34" s="433"/>
      <c r="S34" s="433"/>
      <c r="T34" s="433"/>
      <c r="U34" s="433"/>
    </row>
    <row r="35" spans="1:21" ht="18" customHeight="1" x14ac:dyDescent="0.25">
      <c r="A35" s="433"/>
      <c r="B35" s="2744"/>
      <c r="C35" s="2744"/>
      <c r="D35" s="2744"/>
      <c r="E35" s="441" t="s">
        <v>53</v>
      </c>
      <c r="F35" s="441" t="s">
        <v>430</v>
      </c>
      <c r="G35" s="2694"/>
      <c r="H35" s="441" t="s">
        <v>55</v>
      </c>
      <c r="I35" s="441" t="s">
        <v>56</v>
      </c>
      <c r="J35" s="2694"/>
      <c r="K35" s="441" t="s">
        <v>57</v>
      </c>
      <c r="L35" s="441" t="s">
        <v>461</v>
      </c>
      <c r="M35" s="441" t="s">
        <v>429</v>
      </c>
      <c r="N35" s="441" t="s">
        <v>460</v>
      </c>
      <c r="O35" s="433"/>
      <c r="P35" s="433"/>
      <c r="Q35" s="433"/>
      <c r="R35" s="433"/>
      <c r="S35" s="433"/>
      <c r="T35" s="433"/>
      <c r="U35" s="433"/>
    </row>
    <row r="36" spans="1:21" ht="18" customHeight="1" x14ac:dyDescent="0.25">
      <c r="A36" s="433"/>
      <c r="B36" s="2730" t="s">
        <v>431</v>
      </c>
      <c r="C36" s="2737"/>
      <c r="D36" s="2737"/>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2730" t="s">
        <v>696</v>
      </c>
      <c r="C37" s="2737"/>
      <c r="D37" s="2737"/>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2742" t="s">
        <v>741</v>
      </c>
      <c r="C38" s="2737"/>
      <c r="D38" s="2737"/>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77" t="s">
        <v>744</v>
      </c>
      <c r="C1" s="2778"/>
      <c r="D1" s="2778"/>
      <c r="E1" s="2778"/>
      <c r="F1" s="2778"/>
      <c r="G1" s="2778"/>
      <c r="H1" s="2778"/>
      <c r="I1" s="2778"/>
      <c r="J1" s="2778"/>
      <c r="K1" s="2778"/>
      <c r="L1" s="2778"/>
      <c r="M1" s="2778"/>
      <c r="N1" s="2778"/>
      <c r="O1" s="2778"/>
      <c r="P1" s="2779"/>
      <c r="Q1" s="2779"/>
      <c r="R1" s="2763" t="s">
        <v>198</v>
      </c>
      <c r="S1" s="2764"/>
      <c r="T1" s="2764"/>
      <c r="U1" s="2764"/>
      <c r="V1" s="2770" t="str">
        <f>IF('R-Entrada'!D3&lt;&gt;0,'R-Entrada'!D3,"")</f>
        <v>Biodigestão c/ Prod. E. Elétrica</v>
      </c>
      <c r="W1" s="2771"/>
      <c r="X1" s="2771"/>
      <c r="Y1" s="2771"/>
      <c r="Z1" s="2771"/>
      <c r="AA1" s="2771"/>
      <c r="AB1" s="2772"/>
      <c r="AC1" s="2763" t="s">
        <v>4</v>
      </c>
      <c r="AD1" s="2764"/>
      <c r="AE1" s="2764"/>
      <c r="AF1" s="2764"/>
      <c r="AG1" s="2770" t="str">
        <f>IF('R-Entrada'!D2&lt;&gt;0,'R-Entrada'!D2,"")</f>
        <v>CIRSOP - Consórcio RSU Oeste Paulista</v>
      </c>
      <c r="AH1" s="2771"/>
      <c r="AI1" s="2771"/>
      <c r="AJ1" s="2771"/>
      <c r="AK1" s="2771"/>
      <c r="AL1" s="2771"/>
      <c r="AM1" s="2771"/>
      <c r="AN1" s="2771"/>
      <c r="AO1" s="2771"/>
      <c r="AP1" s="2771"/>
      <c r="AQ1" s="2771"/>
      <c r="AR1" s="2772"/>
      <c r="AS1" s="841" t="s">
        <v>738</v>
      </c>
      <c r="AT1" s="838"/>
      <c r="AV1" s="153"/>
    </row>
    <row r="2" spans="2:69" s="152" customFormat="1" ht="3" customHeight="1" x14ac:dyDescent="0.25">
      <c r="B2" s="2773"/>
      <c r="C2" s="2749"/>
      <c r="D2" s="2749"/>
      <c r="E2" s="2749"/>
      <c r="F2" s="2749"/>
      <c r="G2" s="2749"/>
      <c r="H2" s="2749"/>
      <c r="I2" s="2750"/>
      <c r="J2" s="154"/>
      <c r="K2" s="2767"/>
      <c r="L2" s="2749"/>
      <c r="M2" s="2749"/>
      <c r="N2" s="2749"/>
      <c r="O2" s="2749"/>
      <c r="P2" s="2749"/>
      <c r="Q2" s="2749"/>
      <c r="R2" s="2749"/>
      <c r="S2" s="2749"/>
      <c r="T2" s="2749"/>
      <c r="U2" s="2749"/>
      <c r="V2" s="2749"/>
      <c r="W2" s="2749"/>
      <c r="X2" s="2749"/>
      <c r="Y2" s="2749"/>
      <c r="Z2" s="2749"/>
      <c r="AA2" s="2749"/>
      <c r="AB2" s="2749"/>
      <c r="AC2" s="2749"/>
      <c r="AD2" s="2749"/>
      <c r="AE2" s="2749"/>
      <c r="AF2" s="2749"/>
      <c r="AG2" s="2749"/>
      <c r="AH2" s="2749"/>
      <c r="AI2" s="2749"/>
      <c r="AJ2" s="2750"/>
      <c r="AK2" s="2767"/>
      <c r="AL2" s="2749"/>
      <c r="AM2" s="2749"/>
      <c r="AN2" s="2749"/>
      <c r="AO2" s="2749"/>
      <c r="AP2" s="2749"/>
      <c r="AQ2" s="2749"/>
      <c r="AR2" s="2749"/>
      <c r="AS2" s="2749"/>
      <c r="AT2" s="2768"/>
      <c r="AU2" s="153"/>
    </row>
    <row r="3" spans="2:69" s="152" customFormat="1" ht="16.899999999999999" customHeight="1" x14ac:dyDescent="0.25">
      <c r="B3" s="155"/>
      <c r="C3" s="146">
        <f>'R-Entrada'!E14</f>
        <v>467.94871794871796</v>
      </c>
      <c r="D3" s="156"/>
      <c r="E3" s="2769" t="s">
        <v>199</v>
      </c>
      <c r="F3" s="2749"/>
      <c r="G3" s="2749"/>
      <c r="H3" s="2750"/>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69" t="s">
        <v>200</v>
      </c>
      <c r="F5" s="2749"/>
      <c r="G5" s="2749"/>
      <c r="H5" s="2750"/>
      <c r="I5" s="154"/>
      <c r="J5" s="154"/>
      <c r="K5" s="154"/>
      <c r="L5" s="154"/>
      <c r="M5" s="154"/>
      <c r="N5" s="154"/>
      <c r="O5" s="154"/>
      <c r="P5" s="154"/>
      <c r="Q5" s="154"/>
      <c r="R5" s="154"/>
      <c r="S5" s="154"/>
      <c r="T5" s="154"/>
      <c r="U5" s="154"/>
      <c r="V5" s="154"/>
      <c r="W5" s="154"/>
      <c r="X5" s="154"/>
      <c r="Y5" s="154"/>
      <c r="Z5" s="154"/>
      <c r="AA5" s="154"/>
      <c r="AB5" s="2774" t="s">
        <v>424</v>
      </c>
      <c r="AC5" s="2698"/>
      <c r="AD5" s="2698"/>
      <c r="AE5" s="2698"/>
      <c r="AF5" s="2698"/>
      <c r="AG5" s="2698"/>
      <c r="AH5" s="2698"/>
      <c r="AI5" s="2698"/>
      <c r="AJ5" s="2698"/>
      <c r="AK5" s="2698"/>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69" t="s">
        <v>58</v>
      </c>
      <c r="F7" s="2749"/>
      <c r="G7" s="2749"/>
      <c r="H7" s="2750"/>
      <c r="I7" s="154"/>
      <c r="J7" s="154"/>
      <c r="K7" s="154"/>
      <c r="L7" s="154"/>
      <c r="M7" s="154"/>
      <c r="N7" s="154"/>
      <c r="O7" s="154"/>
      <c r="P7" s="154"/>
      <c r="Q7" s="154"/>
      <c r="R7" s="154"/>
      <c r="S7" s="154"/>
      <c r="T7" s="154"/>
      <c r="U7" s="154"/>
      <c r="V7" s="154"/>
      <c r="W7" s="154"/>
      <c r="X7" s="154"/>
      <c r="Y7" s="154"/>
      <c r="Z7" s="154"/>
      <c r="AA7" s="154"/>
      <c r="AB7" s="2775" t="str">
        <f>Apresentação!I2</f>
        <v>RC-RSU V.1.0 - 15/10/2020</v>
      </c>
      <c r="AC7" s="2776"/>
      <c r="AD7" s="2776"/>
      <c r="AE7" s="2776"/>
      <c r="AF7" s="2776"/>
      <c r="AG7" s="2776"/>
      <c r="AH7" s="2776"/>
      <c r="AI7" s="2776"/>
      <c r="AJ7" s="2776"/>
      <c r="AK7" s="2776"/>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2769" t="s">
        <v>201</v>
      </c>
      <c r="F9" s="2749"/>
      <c r="G9" s="2749"/>
      <c r="H9" s="2750"/>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2765" t="s">
        <v>745</v>
      </c>
      <c r="F11" s="2766"/>
      <c r="G11" s="2766"/>
      <c r="H11" s="2766"/>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58" t="s">
        <v>202</v>
      </c>
      <c r="AP11" s="147"/>
      <c r="AQ11" s="2758" t="s">
        <v>203</v>
      </c>
      <c r="AR11" s="147"/>
      <c r="AS11" s="2758"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61"/>
      <c r="AP12" s="147"/>
      <c r="AQ12" s="2759"/>
      <c r="AR12" s="147"/>
      <c r="AS12" s="2759"/>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62"/>
      <c r="AP13" s="147"/>
      <c r="AQ13" s="2760"/>
      <c r="AR13" s="147"/>
      <c r="AS13" s="2760"/>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83" t="s">
        <v>742</v>
      </c>
      <c r="J15" s="2749"/>
      <c r="K15" s="2749"/>
      <c r="L15" s="2749"/>
      <c r="M15" s="2749"/>
      <c r="N15" s="2749"/>
      <c r="O15" s="2750"/>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83" t="s">
        <v>743</v>
      </c>
      <c r="M19" s="2749"/>
      <c r="N19" s="2749"/>
      <c r="O19" s="2749"/>
      <c r="P19" s="2749"/>
      <c r="Q19" s="2749"/>
      <c r="R19" s="2750"/>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58.493589743589752</v>
      </c>
      <c r="G23" s="154"/>
      <c r="H23" s="154"/>
      <c r="I23" s="154"/>
      <c r="J23" s="154"/>
      <c r="K23" s="154"/>
      <c r="L23" s="154"/>
      <c r="M23" s="154"/>
      <c r="N23" s="154"/>
      <c r="O23" s="154"/>
      <c r="P23" s="154"/>
      <c r="Q23" s="2783" t="s">
        <v>746</v>
      </c>
      <c r="R23" s="2749"/>
      <c r="S23" s="2749"/>
      <c r="T23" s="2749"/>
      <c r="U23" s="2749"/>
      <c r="V23" s="2749"/>
      <c r="W23" s="2750"/>
      <c r="X23" s="154"/>
      <c r="Y23" s="154"/>
      <c r="Z23" s="154"/>
      <c r="AA23" s="154"/>
      <c r="AB23" s="154"/>
      <c r="AC23" s="154"/>
      <c r="AD23" s="154"/>
      <c r="AE23" s="154"/>
      <c r="AF23" s="154"/>
      <c r="AG23" s="154"/>
      <c r="AH23" s="154"/>
      <c r="AI23" s="154"/>
      <c r="AJ23" s="154"/>
      <c r="AK23" s="154"/>
      <c r="AL23" s="154"/>
      <c r="AM23" s="154"/>
      <c r="AN23" s="147"/>
      <c r="AO23" s="146">
        <f>'R-Resumo Bal. Massa'!G64</f>
        <v>4.1983774038461537</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84">
        <f>F15+F19+F23-AO15-AO19-AO23-AS17-AS21-AS25-S25</f>
        <v>28.739362980769236</v>
      </c>
      <c r="K25" s="2782"/>
      <c r="L25" s="2782"/>
      <c r="M25" s="2754"/>
      <c r="N25" s="154"/>
      <c r="O25" s="154"/>
      <c r="P25" s="154"/>
      <c r="Q25" s="154"/>
      <c r="R25" s="154"/>
      <c r="S25" s="2753">
        <f>IF('R-Definição'!I29&lt;&gt;"Aterro sanitário",'R-Resumo Bal. Massa'!F22,0)</f>
        <v>25.555849358974363</v>
      </c>
      <c r="T25" s="2754"/>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0</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0</v>
      </c>
      <c r="O27" s="154"/>
      <c r="P27" s="154"/>
      <c r="Q27" s="154"/>
      <c r="R27" s="154"/>
      <c r="S27" s="154"/>
      <c r="T27" s="154"/>
      <c r="U27" s="154"/>
      <c r="V27" s="2753">
        <f>'R-Resumo Bal. Massa'!B25</f>
        <v>0</v>
      </c>
      <c r="W27" s="2754"/>
      <c r="X27" s="154"/>
      <c r="Y27" s="2748" t="s">
        <v>99</v>
      </c>
      <c r="Z27" s="2749"/>
      <c r="AA27" s="2749"/>
      <c r="AB27" s="2750"/>
      <c r="AC27" s="154"/>
      <c r="AD27" s="154"/>
      <c r="AE27" s="154"/>
      <c r="AF27" s="154"/>
      <c r="AG27" s="154"/>
      <c r="AH27" s="154"/>
      <c r="AI27" s="154"/>
      <c r="AJ27" s="154"/>
      <c r="AK27" s="154"/>
      <c r="AL27" s="154"/>
      <c r="AM27" s="154"/>
      <c r="AN27" s="147"/>
      <c r="AO27" s="146">
        <f>'R-Resumo Bal. Massa'!E29</f>
        <v>0</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53">
        <f>'R-Definição'!E59</f>
        <v>0</v>
      </c>
      <c r="T29" s="2754"/>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0</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53">
        <f>SUM('R-Resumo Bal. Massa'!D40:D42)</f>
        <v>28.739362980769229</v>
      </c>
      <c r="K31" s="2782"/>
      <c r="L31" s="2782"/>
      <c r="M31" s="27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0</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53">
        <f>'R-Resumo Bal. Massa'!D36</f>
        <v>0</v>
      </c>
      <c r="T33" s="2754"/>
      <c r="U33" s="154"/>
      <c r="V33" s="154"/>
      <c r="W33" s="154"/>
      <c r="X33" s="154"/>
      <c r="Y33" s="2753">
        <f>'R-Definição'!E60*'R-Definição'!J59/100</f>
        <v>0</v>
      </c>
      <c r="Z33" s="2754"/>
      <c r="AA33" s="154"/>
      <c r="AB33" s="2755" t="s">
        <v>114</v>
      </c>
      <c r="AC33" s="2756"/>
      <c r="AD33" s="2756"/>
      <c r="AE33" s="2756"/>
      <c r="AF33" s="2757"/>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53">
        <f>'R-Definição'!J68</f>
        <v>0</v>
      </c>
      <c r="AE35" s="2754"/>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53">
        <f>'R-Resumo Bal. Massa'!D35</f>
        <v>0</v>
      </c>
      <c r="T37" s="2754"/>
      <c r="U37" s="154"/>
      <c r="V37" s="154"/>
      <c r="W37" s="154"/>
      <c r="X37" s="154"/>
      <c r="Y37" s="154"/>
      <c r="Z37" s="154"/>
      <c r="AA37" s="154"/>
      <c r="AB37" s="154"/>
      <c r="AC37" s="154"/>
      <c r="AD37" s="2748" t="s">
        <v>131</v>
      </c>
      <c r="AE37" s="2749"/>
      <c r="AF37" s="2749"/>
      <c r="AG37" s="2750"/>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53">
        <f>'R-Resumo Bal. Massa'!D43</f>
        <v>25.555849358974363</v>
      </c>
      <c r="U41" s="2754"/>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409.45512820512829</v>
      </c>
      <c r="G43" s="154"/>
      <c r="H43" s="154"/>
      <c r="I43" s="154"/>
      <c r="J43" s="2753">
        <f>SUM('R-Resumo Bal. Massa'!D39:D42)</f>
        <v>438.1944911858975</v>
      </c>
      <c r="K43" s="2782"/>
      <c r="L43" s="2782"/>
      <c r="M43" s="2754"/>
      <c r="N43" s="154"/>
      <c r="O43" s="154"/>
      <c r="P43" s="154"/>
      <c r="Q43" s="154"/>
      <c r="R43" s="154"/>
      <c r="S43" s="154"/>
      <c r="T43" s="2753">
        <f>'R-Resumo Bal. Massa'!D44</f>
        <v>463.75034054487185</v>
      </c>
      <c r="U43" s="2754"/>
      <c r="V43" s="154"/>
      <c r="W43" s="154"/>
      <c r="X43" s="154"/>
      <c r="Y43" s="154"/>
      <c r="Z43" s="154"/>
      <c r="AA43" s="154"/>
      <c r="AB43" s="154"/>
      <c r="AC43" s="154"/>
      <c r="AD43" s="154"/>
      <c r="AE43" s="154"/>
      <c r="AF43" s="154"/>
      <c r="AG43" s="661"/>
      <c r="AH43" s="2748" t="s">
        <v>204</v>
      </c>
      <c r="AI43" s="2751"/>
      <c r="AJ43" s="2751"/>
      <c r="AK43" s="2752"/>
      <c r="AL43" s="154"/>
      <c r="AM43" s="154"/>
      <c r="AN43" s="147"/>
      <c r="AO43" s="146">
        <f>'R-Resumo Bal. Massa'!E44</f>
        <v>10.597770823755734</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360.40250161214175</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92.750068108974375</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80">
        <f>'R-Definição'!E126</f>
        <v>64.925047676282063</v>
      </c>
      <c r="J51" s="2781"/>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14.796148227601888</v>
      </c>
      <c r="AP51" s="150"/>
      <c r="AQ51" s="840">
        <f>AQ29+AQ33+AQ39+AQ45</f>
        <v>360.40250161214175</v>
      </c>
      <c r="AR51" s="150"/>
      <c r="AS51" s="840">
        <f>'R-Resumo Bal. Massa'!D53</f>
        <v>92.750068108974375</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80" t="str">
        <f>IF('R-Definição'!O124&gt;0,'R-Definição'!O124,"Não")</f>
        <v>Não</v>
      </c>
      <c r="J53" s="2781"/>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3.2</v>
      </c>
      <c r="AP53" s="151"/>
      <c r="AQ53" s="839">
        <f>IF(C11&lt;&gt;0,ROUND(100-AO53-AS53,1),0)</f>
        <v>77</v>
      </c>
      <c r="AR53" s="151"/>
      <c r="AS53" s="839">
        <f>IF(C11&lt;&gt;0,ROUND(AS51/(AO51+AQ51+AS51)*100,1),0)</f>
        <v>19.8</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800"/>
      <c r="K4" s="2674"/>
      <c r="L4" s="2"/>
      <c r="M4" s="2"/>
      <c r="N4" s="2"/>
      <c r="O4" s="2"/>
      <c r="P4" s="2"/>
      <c r="Q4" s="2"/>
      <c r="R4" s="2"/>
      <c r="S4" s="2"/>
      <c r="T4" s="2"/>
    </row>
    <row r="5" spans="1:20" ht="25.9" customHeight="1" x14ac:dyDescent="0.25">
      <c r="A5" s="2"/>
      <c r="B5" s="92"/>
      <c r="C5" s="190" t="s">
        <v>494</v>
      </c>
      <c r="D5" s="92"/>
      <c r="E5" s="92"/>
      <c r="F5" s="92"/>
      <c r="G5" s="92"/>
      <c r="H5" s="92"/>
      <c r="I5" s="2"/>
      <c r="J5" s="2802" t="s">
        <v>424</v>
      </c>
      <c r="K5" s="2698"/>
      <c r="L5" s="2698"/>
      <c r="M5" s="2"/>
      <c r="N5" s="2"/>
      <c r="O5" s="2"/>
      <c r="P5" s="2"/>
      <c r="Q5" s="2"/>
      <c r="R5" s="2"/>
      <c r="S5" s="2"/>
      <c r="T5" s="2"/>
    </row>
    <row r="6" spans="1:20" ht="18" customHeight="1" x14ac:dyDescent="0.25">
      <c r="A6" s="2"/>
      <c r="B6" s="60"/>
      <c r="C6" s="60"/>
      <c r="D6" s="60"/>
      <c r="E6" s="60"/>
      <c r="F6" s="60"/>
      <c r="G6" s="60"/>
      <c r="H6" s="60"/>
      <c r="I6" s="2"/>
      <c r="J6" s="2668" t="str">
        <f>Apresentação!I2</f>
        <v>RC-RSU V.1.0 - 15/10/2020</v>
      </c>
      <c r="K6" s="2801"/>
      <c r="L6" s="2801"/>
      <c r="M6" s="2"/>
      <c r="N6" s="2"/>
      <c r="O6" s="2"/>
      <c r="P6" s="2"/>
      <c r="Q6" s="2"/>
      <c r="R6" s="2"/>
      <c r="S6" s="2"/>
      <c r="T6" s="2"/>
    </row>
    <row r="7" spans="1:20" ht="18" customHeight="1" x14ac:dyDescent="0.25">
      <c r="A7" s="2"/>
      <c r="B7" s="2657" t="s">
        <v>495</v>
      </c>
      <c r="C7" s="2694"/>
      <c r="D7" s="2694"/>
      <c r="E7" s="2694"/>
      <c r="F7" s="2694"/>
      <c r="G7" s="2694"/>
      <c r="H7" s="2694"/>
      <c r="I7" s="2"/>
      <c r="J7" s="662"/>
      <c r="K7" s="662"/>
      <c r="L7" s="662"/>
      <c r="M7" s="2"/>
      <c r="N7" s="2"/>
      <c r="O7" s="2"/>
      <c r="P7" s="2"/>
      <c r="Q7" s="2"/>
      <c r="R7" s="2"/>
      <c r="S7" s="2"/>
      <c r="T7" s="2"/>
    </row>
    <row r="8" spans="1:20" ht="18" customHeight="1" x14ac:dyDescent="0.25">
      <c r="A8" s="2"/>
      <c r="B8" s="2665" t="s">
        <v>209</v>
      </c>
      <c r="C8" s="2665" t="s">
        <v>210</v>
      </c>
      <c r="D8" s="2657" t="s">
        <v>211</v>
      </c>
      <c r="E8" s="2665" t="s">
        <v>212</v>
      </c>
      <c r="F8" s="2664"/>
      <c r="G8" s="2664"/>
      <c r="H8" s="2664"/>
      <c r="I8" s="2"/>
      <c r="J8" s="2"/>
      <c r="K8" s="2"/>
      <c r="L8" s="2"/>
      <c r="M8" s="2"/>
      <c r="N8" s="2"/>
      <c r="O8" s="2"/>
      <c r="P8" s="13"/>
      <c r="Q8" s="2"/>
      <c r="R8" s="2"/>
      <c r="S8" s="2"/>
      <c r="T8" s="2"/>
    </row>
    <row r="9" spans="1:20" ht="18" customHeight="1" x14ac:dyDescent="0.25">
      <c r="A9" s="6"/>
      <c r="B9" s="2664"/>
      <c r="C9" s="2664"/>
      <c r="D9" s="2664"/>
      <c r="E9" s="2665" t="s">
        <v>213</v>
      </c>
      <c r="F9" s="2785" t="s">
        <v>25</v>
      </c>
      <c r="G9" s="2657" t="s">
        <v>214</v>
      </c>
      <c r="H9" s="2665" t="s">
        <v>215</v>
      </c>
      <c r="I9" s="6"/>
      <c r="J9" s="6"/>
      <c r="K9" s="6"/>
      <c r="L9" s="6"/>
      <c r="M9" s="6"/>
      <c r="N9" s="6"/>
      <c r="O9" s="6"/>
      <c r="P9" s="2"/>
      <c r="Q9" s="2"/>
      <c r="R9" s="6"/>
      <c r="S9" s="2"/>
      <c r="T9" s="2"/>
    </row>
    <row r="10" spans="1:20" ht="18" customHeight="1" x14ac:dyDescent="0.25">
      <c r="A10" s="6"/>
      <c r="B10" s="2664"/>
      <c r="C10" s="2664"/>
      <c r="D10" s="2664"/>
      <c r="E10" s="2664"/>
      <c r="F10" s="2664"/>
      <c r="G10" s="2664"/>
      <c r="H10" s="2664"/>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58.493589743589752</v>
      </c>
      <c r="C21" s="447" t="s">
        <v>699</v>
      </c>
      <c r="D21" s="207">
        <f>IF('R-Definição'!$I$24="Sim",'R-Definição'!$I$27,0)</f>
        <v>58.493589743589752</v>
      </c>
      <c r="E21" s="207">
        <f>'R-Definição'!O30</f>
        <v>4.1983774038461537</v>
      </c>
      <c r="F21" s="207">
        <f>'R-Definição'!L32</f>
        <v>25.555849358974363</v>
      </c>
      <c r="G21" s="207">
        <f>SUM('R-Definição'!O34:'R-Definição'!O35)</f>
        <v>28.739362980769229</v>
      </c>
      <c r="H21" s="20"/>
      <c r="I21" s="2"/>
      <c r="J21" s="2"/>
      <c r="K21" s="2"/>
      <c r="L21" s="2"/>
      <c r="M21" s="6"/>
      <c r="N21" s="6"/>
      <c r="O21" s="6"/>
      <c r="P21" s="6"/>
      <c r="Q21" s="6"/>
      <c r="R21" s="2"/>
      <c r="S21" s="2"/>
      <c r="T21" s="2"/>
    </row>
    <row r="22" spans="1:20" ht="18" customHeight="1" x14ac:dyDescent="0.25">
      <c r="A22" s="2"/>
      <c r="B22" s="672"/>
      <c r="C22" s="673" t="s">
        <v>217</v>
      </c>
      <c r="D22" s="668">
        <f>SUM(D19:D21)</f>
        <v>58.493589743589752</v>
      </c>
      <c r="E22" s="208">
        <f>SUM(E19:E21)</f>
        <v>4.1983774038461537</v>
      </c>
      <c r="F22" s="208">
        <f>SUM(F19:F21)</f>
        <v>25.555849358974363</v>
      </c>
      <c r="G22" s="208">
        <f>SUM(G19:G21)</f>
        <v>28.739362980769229</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2803">
        <f>D29</f>
        <v>0</v>
      </c>
      <c r="C25" s="217" t="s">
        <v>681</v>
      </c>
      <c r="D25" s="207">
        <f>'R-Definição'!E49</f>
        <v>0</v>
      </c>
      <c r="E25" s="2786">
        <f>'R-Definição'!O49+'R-Definição'!O50</f>
        <v>0</v>
      </c>
      <c r="F25" s="2790"/>
      <c r="G25" s="2786">
        <f>'R-Definição'!O53</f>
        <v>0</v>
      </c>
      <c r="H25" s="2786">
        <f>'R-Definição'!O55</f>
        <v>0</v>
      </c>
      <c r="I25" s="2"/>
      <c r="J25" s="2"/>
      <c r="K25" s="2"/>
      <c r="L25" s="2"/>
      <c r="M25" s="2"/>
      <c r="N25" s="2"/>
      <c r="O25" s="2"/>
      <c r="P25" s="2"/>
      <c r="Q25" s="2"/>
      <c r="R25" s="2"/>
      <c r="S25" s="2"/>
      <c r="T25" s="2"/>
    </row>
    <row r="26" spans="1:20" ht="18" customHeight="1" x14ac:dyDescent="0.25">
      <c r="A26" s="2"/>
      <c r="B26" s="2804"/>
      <c r="C26" s="217" t="s">
        <v>682</v>
      </c>
      <c r="D26" s="207">
        <f>'R-Definição'!E50</f>
        <v>0</v>
      </c>
      <c r="E26" s="2787"/>
      <c r="F26" s="2787"/>
      <c r="G26" s="2787"/>
      <c r="H26" s="2787"/>
      <c r="I26" s="2"/>
      <c r="J26" s="2"/>
      <c r="K26" s="2"/>
      <c r="L26" s="2"/>
      <c r="M26" s="2"/>
      <c r="N26" s="2"/>
      <c r="O26" s="2"/>
      <c r="P26" s="2"/>
      <c r="Q26" s="2"/>
      <c r="R26" s="2"/>
      <c r="S26" s="2"/>
      <c r="T26" s="2"/>
    </row>
    <row r="27" spans="1:20" ht="18" customHeight="1" x14ac:dyDescent="0.25">
      <c r="A27" s="2"/>
      <c r="B27" s="2804"/>
      <c r="C27" s="217" t="s">
        <v>496</v>
      </c>
      <c r="D27" s="207">
        <f>'R-Definição'!E51</f>
        <v>0</v>
      </c>
      <c r="E27" s="2787"/>
      <c r="F27" s="2787"/>
      <c r="G27" s="2787"/>
      <c r="H27" s="2787"/>
      <c r="I27" s="2"/>
      <c r="J27" s="2"/>
      <c r="K27" s="2"/>
      <c r="L27" s="2"/>
      <c r="M27" s="2"/>
      <c r="N27" s="2"/>
      <c r="O27" s="2"/>
      <c r="P27" s="2"/>
      <c r="Q27" s="2"/>
      <c r="R27" s="2"/>
      <c r="S27" s="2"/>
      <c r="T27" s="2"/>
    </row>
    <row r="28" spans="1:20" ht="18" customHeight="1" x14ac:dyDescent="0.25">
      <c r="A28" s="2"/>
      <c r="B28" s="2804"/>
      <c r="C28" s="217" t="s">
        <v>497</v>
      </c>
      <c r="D28" s="207">
        <f>'R-Definição'!E52</f>
        <v>0</v>
      </c>
      <c r="E28" s="2787"/>
      <c r="F28" s="2787"/>
      <c r="G28" s="2787"/>
      <c r="H28" s="2787"/>
      <c r="I28" s="2"/>
      <c r="J28" s="2"/>
      <c r="K28" s="2"/>
      <c r="L28" s="2"/>
      <c r="M28" s="2"/>
      <c r="N28" s="2"/>
      <c r="O28" s="2"/>
      <c r="P28" s="2"/>
      <c r="Q28" s="2"/>
      <c r="R28" s="2"/>
      <c r="S28" s="2"/>
      <c r="T28" s="2"/>
    </row>
    <row r="29" spans="1:20" ht="18" customHeight="1" x14ac:dyDescent="0.25">
      <c r="A29" s="2"/>
      <c r="B29" s="206"/>
      <c r="C29" s="673" t="s">
        <v>217</v>
      </c>
      <c r="D29" s="668">
        <f>SUM(D25:D28)</f>
        <v>0</v>
      </c>
      <c r="E29" s="208">
        <f>E25</f>
        <v>0</v>
      </c>
      <c r="F29" s="208"/>
      <c r="G29" s="208">
        <f>SUM(G25)</f>
        <v>0</v>
      </c>
      <c r="H29" s="208">
        <f>SUM(H25:H28)</f>
        <v>0</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789">
        <f>'R-Definição'!O67+'R-Definição'!O68</f>
        <v>0</v>
      </c>
      <c r="G34" s="2786">
        <f>'R-Definição'!O73</f>
        <v>0</v>
      </c>
      <c r="H34" s="2786">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2788"/>
      <c r="G35" s="2788"/>
      <c r="H35" s="2788"/>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2803">
        <f>'R-Definição'!E112</f>
        <v>463.75034054487185</v>
      </c>
      <c r="C39" s="447" t="s">
        <v>221</v>
      </c>
      <c r="D39" s="207">
        <f>'R-Definição'!E107</f>
        <v>409.45512820512829</v>
      </c>
      <c r="E39" s="2791">
        <f>'R-Definição'!O107+'R-Definição'!O108+'R-Definição'!O109</f>
        <v>10.597770823755734</v>
      </c>
      <c r="F39" s="2790"/>
      <c r="G39" s="2791">
        <f>'R-Definição'!O110</f>
        <v>92.750068108974375</v>
      </c>
      <c r="H39" s="2791">
        <f>'R-Definição'!O113</f>
        <v>360.40250161214175</v>
      </c>
      <c r="I39" s="2"/>
      <c r="J39" s="2"/>
      <c r="K39" s="2"/>
      <c r="L39" s="2"/>
      <c r="M39" s="2"/>
      <c r="N39" s="2"/>
      <c r="O39" s="2"/>
      <c r="P39" s="2"/>
      <c r="Q39" s="2"/>
      <c r="R39" s="2"/>
      <c r="S39" s="2"/>
      <c r="T39" s="2"/>
    </row>
    <row r="40" spans="1:20" ht="18" customHeight="1" x14ac:dyDescent="0.25">
      <c r="A40" s="2"/>
      <c r="B40" s="2737"/>
      <c r="C40" s="447" t="s">
        <v>700</v>
      </c>
      <c r="D40" s="207">
        <f>'R-Definição'!E108</f>
        <v>0</v>
      </c>
      <c r="E40" s="2788"/>
      <c r="F40" s="2788"/>
      <c r="G40" s="2788"/>
      <c r="H40" s="2788"/>
      <c r="I40" s="2"/>
      <c r="J40" s="2"/>
      <c r="K40" s="2"/>
      <c r="L40" s="2"/>
      <c r="M40" s="2"/>
      <c r="N40" s="2"/>
      <c r="O40" s="2"/>
      <c r="P40" s="2"/>
      <c r="Q40" s="2"/>
      <c r="R40" s="2"/>
      <c r="S40" s="2"/>
      <c r="T40" s="2"/>
    </row>
    <row r="41" spans="1:20" ht="18" customHeight="1" x14ac:dyDescent="0.25">
      <c r="A41" s="2"/>
      <c r="B41" s="2737"/>
      <c r="C41" s="447" t="s">
        <v>683</v>
      </c>
      <c r="D41" s="207">
        <f>'R-Definição'!E109</f>
        <v>0</v>
      </c>
      <c r="E41" s="2788"/>
      <c r="F41" s="2788"/>
      <c r="G41" s="2788"/>
      <c r="H41" s="2788"/>
      <c r="I41" s="2"/>
      <c r="J41" s="2"/>
      <c r="K41" s="2"/>
      <c r="L41" s="2"/>
      <c r="M41" s="2"/>
      <c r="N41" s="2"/>
      <c r="O41" s="2"/>
      <c r="P41" s="2"/>
      <c r="Q41" s="2"/>
      <c r="R41" s="2"/>
      <c r="S41" s="2"/>
      <c r="T41" s="2"/>
    </row>
    <row r="42" spans="1:20" ht="18" customHeight="1" x14ac:dyDescent="0.25">
      <c r="A42" s="2"/>
      <c r="B42" s="2737"/>
      <c r="C42" s="220" t="s">
        <v>729</v>
      </c>
      <c r="D42" s="207">
        <f>'R-Definição'!E110</f>
        <v>28.739362980769229</v>
      </c>
      <c r="E42" s="2788"/>
      <c r="F42" s="2788"/>
      <c r="G42" s="2788"/>
      <c r="H42" s="2788"/>
      <c r="I42" s="2"/>
      <c r="J42" s="2"/>
      <c r="K42" s="2"/>
      <c r="L42" s="2"/>
      <c r="M42" s="2"/>
      <c r="N42" s="2"/>
      <c r="O42" s="2"/>
      <c r="P42" s="2"/>
      <c r="Q42" s="2"/>
      <c r="R42" s="2"/>
      <c r="S42" s="2"/>
      <c r="T42" s="2"/>
    </row>
    <row r="43" spans="1:20" ht="18" customHeight="1" x14ac:dyDescent="0.25">
      <c r="A43" s="2"/>
      <c r="C43" s="683" t="s">
        <v>896</v>
      </c>
      <c r="D43" s="207">
        <f>'R-Definição'!E111</f>
        <v>25.555849358974363</v>
      </c>
      <c r="I43" s="2"/>
      <c r="J43" s="2"/>
      <c r="K43" s="2"/>
      <c r="L43" s="2"/>
      <c r="M43" s="2"/>
      <c r="N43" s="2"/>
      <c r="O43" s="2"/>
      <c r="P43" s="2"/>
      <c r="Q43" s="2"/>
      <c r="R43" s="2"/>
      <c r="S43" s="2"/>
      <c r="T43" s="2"/>
    </row>
    <row r="44" spans="1:20" ht="18" customHeight="1" x14ac:dyDescent="0.25">
      <c r="A44" s="2"/>
      <c r="B44" s="196"/>
      <c r="C44" s="674" t="s">
        <v>217</v>
      </c>
      <c r="D44" s="796">
        <f>SUM(D39:D43)</f>
        <v>463.75034054487185</v>
      </c>
      <c r="E44" s="677">
        <f>E39</f>
        <v>10.597770823755734</v>
      </c>
      <c r="F44" s="678"/>
      <c r="G44" s="677">
        <f>SUM(G38:G42)</f>
        <v>92.750068108974375</v>
      </c>
      <c r="H44" s="677">
        <f>SUM(H38:H42)</f>
        <v>360.40250161214175</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2797">
        <f>'R-Definição'!E119</f>
        <v>92.750068108974375</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2798"/>
      <c r="C48" s="447" t="s">
        <v>498</v>
      </c>
      <c r="D48" s="207">
        <f>'R-Definição'!N96</f>
        <v>0</v>
      </c>
      <c r="E48" s="5"/>
      <c r="F48" s="667"/>
      <c r="G48" s="205" t="s">
        <v>224</v>
      </c>
      <c r="H48" s="205" t="s">
        <v>22</v>
      </c>
      <c r="I48" s="2"/>
      <c r="J48" s="2"/>
      <c r="K48" s="2"/>
      <c r="L48" s="2"/>
      <c r="M48" s="2"/>
      <c r="N48" s="2"/>
      <c r="O48" s="2"/>
      <c r="P48" s="2"/>
      <c r="Q48" s="2"/>
      <c r="R48" s="2"/>
      <c r="S48" s="2"/>
      <c r="T48" s="2"/>
    </row>
    <row r="49" spans="1:20" ht="18" customHeight="1" x14ac:dyDescent="0.25">
      <c r="A49" s="2"/>
      <c r="B49" s="2798"/>
      <c r="C49" s="447" t="s">
        <v>499</v>
      </c>
      <c r="D49" s="207">
        <f>'R-Definição'!N98+'R-Definição'!N99+'R-Definição'!N97</f>
        <v>0</v>
      </c>
      <c r="E49" s="4"/>
      <c r="F49" s="217" t="s">
        <v>225</v>
      </c>
      <c r="G49" s="207">
        <f>D53</f>
        <v>92.750068108974375</v>
      </c>
      <c r="H49" s="706">
        <f>IF($G$52&lt;&gt;0,G49/$G$52*100,0)</f>
        <v>19.820562500000001</v>
      </c>
      <c r="I49" s="19"/>
      <c r="J49" s="2"/>
      <c r="K49" s="2"/>
      <c r="L49" s="2"/>
      <c r="M49" s="2"/>
      <c r="N49" s="2"/>
      <c r="O49" s="2"/>
      <c r="P49" s="2"/>
      <c r="Q49" s="2"/>
      <c r="R49" s="2"/>
      <c r="S49" s="2"/>
      <c r="T49" s="2"/>
    </row>
    <row r="50" spans="1:20" ht="18" customHeight="1" x14ac:dyDescent="0.25">
      <c r="A50" s="2"/>
      <c r="B50" s="2798"/>
      <c r="C50" s="447" t="s">
        <v>500</v>
      </c>
      <c r="D50" s="207">
        <f>'R-Definição'!O53</f>
        <v>0</v>
      </c>
      <c r="E50" s="4"/>
      <c r="F50" s="217" t="s">
        <v>503</v>
      </c>
      <c r="G50" s="706">
        <f>E44+F36+E29+E22</f>
        <v>14.796148227601888</v>
      </c>
      <c r="H50" s="706">
        <f>IF($G$52&lt;&gt;0,G50/$G$52*100,0)</f>
        <v>3.1619166075423206</v>
      </c>
      <c r="I50" s="21"/>
      <c r="J50" s="2"/>
      <c r="K50" s="2"/>
      <c r="L50" s="2"/>
      <c r="M50" s="2"/>
      <c r="N50" s="2"/>
      <c r="O50" s="2"/>
      <c r="P50" s="2"/>
      <c r="Q50" s="2"/>
      <c r="R50" s="2"/>
      <c r="S50" s="2"/>
      <c r="T50" s="2"/>
    </row>
    <row r="51" spans="1:20" ht="18" customHeight="1" x14ac:dyDescent="0.25">
      <c r="A51" s="2"/>
      <c r="B51" s="2798"/>
      <c r="C51" s="447" t="s">
        <v>501</v>
      </c>
      <c r="D51" s="207">
        <f>'R-Definição'!O73</f>
        <v>0</v>
      </c>
      <c r="E51" s="2"/>
      <c r="F51" s="217" t="s">
        <v>226</v>
      </c>
      <c r="G51" s="706">
        <f>H29+H36+H44</f>
        <v>360.40250161214175</v>
      </c>
      <c r="H51" s="706">
        <f>IF($G$52&lt;&gt;0,G51/$G$52*100,0)</f>
        <v>77.017520892457682</v>
      </c>
      <c r="I51" s="2"/>
      <c r="J51" s="2"/>
      <c r="K51" s="2"/>
      <c r="L51" s="2"/>
      <c r="M51" s="2"/>
      <c r="N51" s="2"/>
      <c r="O51" s="2"/>
      <c r="P51" s="2"/>
      <c r="Q51" s="2"/>
      <c r="R51" s="2"/>
      <c r="S51" s="2"/>
      <c r="T51" s="2"/>
    </row>
    <row r="52" spans="1:20" ht="18" customHeight="1" x14ac:dyDescent="0.25">
      <c r="A52" s="2"/>
      <c r="B52" s="2799"/>
      <c r="C52" s="447" t="s">
        <v>502</v>
      </c>
      <c r="D52" s="207">
        <f>'R-Definição'!O110</f>
        <v>92.750068108974375</v>
      </c>
      <c r="E52" s="2"/>
      <c r="F52" s="679" t="s">
        <v>52</v>
      </c>
      <c r="G52" s="208">
        <f>SUM(G49:G51)</f>
        <v>467.94871794871801</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92.750068108974375</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57" t="s">
        <v>150</v>
      </c>
      <c r="C55" s="2694"/>
      <c r="D55" s="2657" t="s">
        <v>228</v>
      </c>
      <c r="E55" s="2724"/>
      <c r="F55" s="2724"/>
      <c r="G55" s="2724"/>
      <c r="H55" s="2724"/>
      <c r="I55" s="2724"/>
      <c r="J55" s="2724"/>
      <c r="K55" s="2724"/>
      <c r="L55" s="2"/>
      <c r="M55" s="2"/>
      <c r="N55" s="2"/>
      <c r="O55" s="2"/>
      <c r="P55" s="2"/>
      <c r="Q55" s="2"/>
      <c r="R55" s="2"/>
      <c r="S55" s="2"/>
      <c r="T55" s="2"/>
    </row>
    <row r="56" spans="1:20" ht="18" customHeight="1" x14ac:dyDescent="0.25">
      <c r="A56" s="2"/>
      <c r="B56" s="2694"/>
      <c r="C56" s="2694"/>
      <c r="D56" s="2796" t="s">
        <v>52</v>
      </c>
      <c r="E56" s="2796" t="s">
        <v>184</v>
      </c>
      <c r="F56" s="2793"/>
      <c r="G56" s="2793"/>
      <c r="H56" s="2792" t="s">
        <v>61</v>
      </c>
      <c r="I56" s="2792" t="s">
        <v>187</v>
      </c>
      <c r="J56" s="2792" t="s">
        <v>63</v>
      </c>
      <c r="K56" s="2792" t="s">
        <v>64</v>
      </c>
      <c r="L56" s="2"/>
      <c r="M56" s="2"/>
      <c r="N56" s="2"/>
      <c r="O56" s="2"/>
      <c r="P56" s="2"/>
      <c r="Q56" s="2"/>
      <c r="R56" s="2"/>
      <c r="S56" s="2"/>
      <c r="T56" s="2"/>
    </row>
    <row r="57" spans="1:20" ht="18" customHeight="1" x14ac:dyDescent="0.25">
      <c r="A57" s="2"/>
      <c r="B57" s="2795" t="s">
        <v>28</v>
      </c>
      <c r="C57" s="454" t="s">
        <v>21</v>
      </c>
      <c r="D57" s="2793"/>
      <c r="E57" s="454" t="s">
        <v>79</v>
      </c>
      <c r="F57" s="454" t="s">
        <v>86</v>
      </c>
      <c r="G57" s="454" t="s">
        <v>72</v>
      </c>
      <c r="H57" s="2793"/>
      <c r="I57" s="2793"/>
      <c r="J57" s="2793"/>
      <c r="K57" s="2793"/>
      <c r="L57" s="2"/>
      <c r="M57" s="2"/>
      <c r="N57" s="2"/>
      <c r="O57" s="2"/>
      <c r="P57" s="2"/>
      <c r="Q57" s="2"/>
      <c r="R57" s="2"/>
      <c r="S57" s="2"/>
      <c r="T57" s="2"/>
    </row>
    <row r="58" spans="1:20" ht="18" customHeight="1" x14ac:dyDescent="0.25">
      <c r="A58" s="2"/>
      <c r="B58" s="2795"/>
      <c r="C58" s="217" t="s">
        <v>73</v>
      </c>
      <c r="D58" s="207">
        <f t="shared" ref="D58:D64" si="0">SUM(E58:K58)</f>
        <v>1.7240985576923078</v>
      </c>
      <c r="E58" s="207">
        <f>'R-Definição'!M24</f>
        <v>0</v>
      </c>
      <c r="F58" s="207">
        <f>'R-Definição'!N24</f>
        <v>0</v>
      </c>
      <c r="G58" s="207">
        <f>'R-Definição'!O24</f>
        <v>1.7240985576923078</v>
      </c>
      <c r="H58" s="706"/>
      <c r="I58" s="455"/>
      <c r="J58" s="455"/>
      <c r="K58" s="455"/>
      <c r="L58" s="2"/>
      <c r="M58" s="2"/>
      <c r="N58" s="2"/>
      <c r="O58" s="2"/>
      <c r="P58" s="2"/>
      <c r="Q58" s="2"/>
      <c r="R58" s="2"/>
      <c r="S58" s="2"/>
      <c r="T58" s="2"/>
    </row>
    <row r="59" spans="1:20" ht="18" customHeight="1" x14ac:dyDescent="0.25">
      <c r="A59" s="2"/>
      <c r="B59" s="2795"/>
      <c r="C59" s="217" t="s">
        <v>29</v>
      </c>
      <c r="D59" s="207">
        <f t="shared" si="0"/>
        <v>1.1713341346153847</v>
      </c>
      <c r="E59" s="207">
        <f>'R-Definição'!M25</f>
        <v>0</v>
      </c>
      <c r="F59" s="207">
        <f>'R-Definição'!N25</f>
        <v>0</v>
      </c>
      <c r="G59" s="207">
        <f>'R-Definição'!O25</f>
        <v>1.1713341346153847</v>
      </c>
      <c r="H59" s="707"/>
      <c r="I59" s="708"/>
      <c r="J59" s="708"/>
      <c r="K59" s="708"/>
      <c r="L59" s="2"/>
      <c r="M59" s="2"/>
      <c r="N59" s="2"/>
      <c r="O59" s="2"/>
      <c r="P59" s="2"/>
      <c r="Q59" s="2"/>
      <c r="R59" s="2"/>
      <c r="S59" s="2"/>
      <c r="T59" s="2"/>
    </row>
    <row r="60" spans="1:20" ht="18" customHeight="1" x14ac:dyDescent="0.25">
      <c r="A60" s="2"/>
      <c r="B60" s="2795"/>
      <c r="C60" s="217" t="s">
        <v>77</v>
      </c>
      <c r="D60" s="207">
        <f t="shared" si="0"/>
        <v>0.60540865384615383</v>
      </c>
      <c r="E60" s="207">
        <f>'R-Definição'!M26</f>
        <v>0</v>
      </c>
      <c r="F60" s="207">
        <f>'R-Definição'!N26</f>
        <v>0</v>
      </c>
      <c r="G60" s="207">
        <f>'R-Definição'!O26</f>
        <v>0.60540865384615383</v>
      </c>
      <c r="H60" s="706"/>
      <c r="I60" s="455"/>
      <c r="J60" s="455"/>
      <c r="K60" s="455"/>
      <c r="L60" s="2"/>
      <c r="M60" s="2"/>
      <c r="N60" s="2"/>
      <c r="O60" s="2"/>
      <c r="P60" s="2"/>
      <c r="Q60" s="2"/>
      <c r="R60" s="2"/>
      <c r="S60" s="2"/>
      <c r="T60" s="2"/>
    </row>
    <row r="61" spans="1:20" ht="18" customHeight="1" x14ac:dyDescent="0.25">
      <c r="A61" s="2"/>
      <c r="B61" s="2795"/>
      <c r="C61" s="217" t="s">
        <v>31</v>
      </c>
      <c r="D61" s="207">
        <f t="shared" si="0"/>
        <v>0.31586538461538466</v>
      </c>
      <c r="E61" s="207">
        <f>'R-Definição'!M27</f>
        <v>0</v>
      </c>
      <c r="F61" s="207">
        <f>'R-Definição'!N27</f>
        <v>0</v>
      </c>
      <c r="G61" s="207">
        <f>'R-Definição'!O27</f>
        <v>0.31586538461538466</v>
      </c>
      <c r="H61" s="706"/>
      <c r="I61" s="455"/>
      <c r="J61" s="455"/>
      <c r="K61" s="455"/>
      <c r="L61" s="2"/>
      <c r="M61" s="2"/>
      <c r="N61" s="2"/>
      <c r="O61" s="2"/>
      <c r="P61" s="2"/>
      <c r="Q61" s="2"/>
      <c r="R61" s="2"/>
      <c r="S61" s="2"/>
      <c r="T61" s="2"/>
    </row>
    <row r="62" spans="1:20" ht="18" customHeight="1" x14ac:dyDescent="0.25">
      <c r="A62" s="2"/>
      <c r="B62" s="2795"/>
      <c r="C62" s="217" t="s">
        <v>32</v>
      </c>
      <c r="D62" s="207">
        <f t="shared" si="0"/>
        <v>8.7078329112810735</v>
      </c>
      <c r="E62" s="207">
        <f>'R-Definição'!M28</f>
        <v>0</v>
      </c>
      <c r="F62" s="207">
        <f>'R-Definição'!N28</f>
        <v>0</v>
      </c>
      <c r="G62" s="207">
        <f>'R-Definição'!O28</f>
        <v>0.30270432692307692</v>
      </c>
      <c r="H62" s="706"/>
      <c r="I62" s="455"/>
      <c r="J62" s="706">
        <f>'R-Definição'!O107</f>
        <v>8.4051285843579961</v>
      </c>
      <c r="K62" s="455"/>
      <c r="L62" s="2"/>
      <c r="M62" s="2"/>
      <c r="N62" s="2"/>
      <c r="O62" s="2"/>
      <c r="P62" s="2"/>
      <c r="Q62" s="2"/>
      <c r="R62" s="2"/>
      <c r="S62" s="2"/>
      <c r="T62" s="2"/>
    </row>
    <row r="63" spans="1:20" ht="18" customHeight="1" x14ac:dyDescent="0.25">
      <c r="A63" s="2"/>
      <c r="B63" s="2795"/>
      <c r="C63" s="217" t="s">
        <v>83</v>
      </c>
      <c r="D63" s="207">
        <f t="shared" si="0"/>
        <v>2.2716085855515846</v>
      </c>
      <c r="E63" s="207">
        <f>'R-Definição'!M29</f>
        <v>0</v>
      </c>
      <c r="F63" s="207">
        <f>'R-Definição'!N29</f>
        <v>0</v>
      </c>
      <c r="G63" s="207">
        <f>'R-Definição'!O29</f>
        <v>7.8966346153846165E-2</v>
      </c>
      <c r="H63" s="706"/>
      <c r="I63" s="455"/>
      <c r="J63" s="706">
        <f>'R-Definição'!O108</f>
        <v>2.1926422393977383</v>
      </c>
      <c r="K63" s="455"/>
      <c r="L63" s="2"/>
      <c r="M63" s="2"/>
      <c r="N63" s="2"/>
      <c r="O63" s="2"/>
      <c r="P63" s="2"/>
      <c r="Q63" s="2"/>
      <c r="R63" s="2"/>
      <c r="S63" s="2"/>
      <c r="T63" s="2"/>
    </row>
    <row r="64" spans="1:20" ht="18" customHeight="1" x14ac:dyDescent="0.25">
      <c r="A64" s="2"/>
      <c r="B64" s="2795"/>
      <c r="C64" s="680" t="s">
        <v>464</v>
      </c>
      <c r="D64" s="224">
        <f t="shared" si="0"/>
        <v>14.796148227601888</v>
      </c>
      <c r="E64" s="225">
        <f>SUM(E58:E63)</f>
        <v>0</v>
      </c>
      <c r="F64" s="225">
        <f>SUM(F58:F63)</f>
        <v>0</v>
      </c>
      <c r="G64" s="225">
        <f>SUM(G58:G63)</f>
        <v>4.1983774038461537</v>
      </c>
      <c r="H64" s="218"/>
      <c r="I64" s="456"/>
      <c r="J64" s="226">
        <f>SUM(J58:J63)</f>
        <v>10.597770823755734</v>
      </c>
      <c r="K64" s="456"/>
      <c r="L64" s="2"/>
      <c r="M64" s="2"/>
      <c r="N64" s="2"/>
      <c r="O64" s="2"/>
      <c r="P64" s="2"/>
      <c r="Q64" s="2"/>
      <c r="R64" s="2"/>
      <c r="S64" s="2"/>
      <c r="T64" s="2"/>
    </row>
    <row r="65" spans="1:20" ht="18" customHeight="1" x14ac:dyDescent="0.25">
      <c r="A65" s="2"/>
      <c r="B65" s="2795"/>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2794"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2795"/>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2795"/>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5"/>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2795"/>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2795"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2795"/>
      <c r="C72" s="217" t="s">
        <v>233</v>
      </c>
      <c r="D72" s="207">
        <f>SUM(E72:K72)</f>
        <v>0</v>
      </c>
      <c r="E72" s="455"/>
      <c r="F72" s="455"/>
      <c r="G72" s="455"/>
      <c r="H72" s="706">
        <f>'R-Definição'!O50</f>
        <v>0</v>
      </c>
      <c r="I72" s="455"/>
      <c r="J72" s="455"/>
      <c r="K72" s="455"/>
      <c r="L72" s="2"/>
      <c r="M72" s="2"/>
      <c r="N72" s="2"/>
      <c r="O72" s="2"/>
      <c r="P72" s="2"/>
      <c r="Q72" s="2"/>
      <c r="R72" s="2"/>
      <c r="S72" s="2"/>
      <c r="T72" s="2"/>
    </row>
    <row r="73" spans="1:20" ht="18" customHeight="1" x14ac:dyDescent="0.25">
      <c r="A73" s="2"/>
      <c r="B73" s="2795"/>
      <c r="C73" s="454" t="s">
        <v>506</v>
      </c>
      <c r="D73" s="224">
        <f>SUM(D71:D72)</f>
        <v>0</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283204.29113904067</v>
      </c>
      <c r="E74" s="702"/>
      <c r="F74" s="702"/>
      <c r="G74" s="702"/>
      <c r="H74" s="703"/>
      <c r="I74" s="702">
        <f>'R-Definição'!O69</f>
        <v>0</v>
      </c>
      <c r="J74" s="702">
        <f>'R-Definição'!O111</f>
        <v>283204.29113904067</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817" t="s">
        <v>424</v>
      </c>
      <c r="D2" s="2674"/>
      <c r="E2" s="691"/>
      <c r="F2" s="1366" t="s">
        <v>436</v>
      </c>
      <c r="G2" s="2808" t="str">
        <f>IF('R-Definição'!D2&lt;&gt;0,'R-Definição'!D2,"")</f>
        <v>CIRSOP - Consórcio RSU Oeste Paulista</v>
      </c>
      <c r="H2" s="2809"/>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816" t="str">
        <f>Apresentação!I2</f>
        <v>RC-RSU V.1.0 - 15/10/2020</v>
      </c>
      <c r="D3" s="2816"/>
      <c r="E3" s="691"/>
      <c r="F3" s="1367" t="s">
        <v>437</v>
      </c>
      <c r="G3" s="2810" t="str">
        <f>IF('R-Definição'!D3&lt;&gt;0,'R-Definição'!D3,"")</f>
        <v>Biodigestão c/ Prod. E. Elétrica</v>
      </c>
      <c r="H3" s="2811"/>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58" customFormat="1" ht="17.649999999999999" customHeight="1" x14ac:dyDescent="0.25">
      <c r="A6" s="1499"/>
      <c r="B6" s="1802" t="s">
        <v>241</v>
      </c>
      <c r="C6" s="1753" t="s">
        <v>242</v>
      </c>
      <c r="D6" s="1754">
        <f>D36</f>
        <v>411597</v>
      </c>
      <c r="E6" s="1499"/>
      <c r="F6" s="1802" t="s">
        <v>512</v>
      </c>
      <c r="G6" s="1755" t="s">
        <v>243</v>
      </c>
      <c r="H6" s="1756">
        <f>IF(D24="Sim",L91,0)</f>
        <v>0</v>
      </c>
      <c r="I6" s="1499"/>
      <c r="J6" s="1499"/>
      <c r="K6" s="1757"/>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58" customFormat="1" ht="17.649999999999999" customHeight="1" x14ac:dyDescent="0.25">
      <c r="A7" s="1499"/>
      <c r="B7" s="1802" t="s">
        <v>245</v>
      </c>
      <c r="C7" s="1759" t="s">
        <v>21</v>
      </c>
      <c r="D7" s="1760">
        <f>D38</f>
        <v>467.94871794871796</v>
      </c>
      <c r="E7" s="1499"/>
      <c r="F7" s="1803" t="s">
        <v>512</v>
      </c>
      <c r="G7" s="1761" t="s">
        <v>246</v>
      </c>
      <c r="H7" s="1762">
        <f>H6*1000000/D8</f>
        <v>0</v>
      </c>
      <c r="I7" s="1499"/>
      <c r="J7" s="1499"/>
      <c r="K7" s="1757"/>
      <c r="L7" s="1499"/>
      <c r="M7" s="1499"/>
      <c r="N7" s="1499"/>
      <c r="O7" s="1499"/>
      <c r="P7" s="1499"/>
      <c r="Q7" s="1499"/>
      <c r="R7" s="808" t="s">
        <v>247</v>
      </c>
      <c r="S7" s="1408">
        <f>IF(D24="Não",0,H21/D40)</f>
        <v>0</v>
      </c>
      <c r="T7" s="809">
        <f>L53</f>
        <v>0</v>
      </c>
      <c r="U7" s="809">
        <f>L56</f>
        <v>271.47431449515818</v>
      </c>
      <c r="V7" s="809">
        <f>L59</f>
        <v>0</v>
      </c>
      <c r="W7" s="809">
        <f>L62</f>
        <v>0</v>
      </c>
      <c r="X7" s="809">
        <f>L65</f>
        <v>0</v>
      </c>
      <c r="Y7" s="809">
        <f>L68</f>
        <v>0</v>
      </c>
      <c r="Z7" s="809">
        <f>L71</f>
        <v>3393.6990411431511</v>
      </c>
      <c r="AA7" s="809">
        <f>L74</f>
        <v>100.59114759540485</v>
      </c>
      <c r="AB7" s="1407"/>
    </row>
    <row r="8" spans="1:28" s="1758" customFormat="1" ht="17.649999999999999" customHeight="1" x14ac:dyDescent="0.25">
      <c r="A8" s="1499"/>
      <c r="B8" s="1802" t="s">
        <v>248</v>
      </c>
      <c r="C8" s="1759" t="s">
        <v>249</v>
      </c>
      <c r="D8" s="1760">
        <f>D40</f>
        <v>146000</v>
      </c>
      <c r="E8" s="1499"/>
      <c r="F8" s="1802" t="s">
        <v>513</v>
      </c>
      <c r="G8" s="1759" t="s">
        <v>243</v>
      </c>
      <c r="H8" s="1756">
        <f>O78</f>
        <v>53.420224064852668</v>
      </c>
      <c r="I8" s="1499"/>
      <c r="J8" s="1499"/>
      <c r="K8" s="1757"/>
      <c r="L8" s="1499"/>
      <c r="M8" s="1499"/>
      <c r="N8" s="1499"/>
      <c r="O8" s="1499"/>
      <c r="P8" s="1499"/>
      <c r="Q8" s="1499"/>
      <c r="R8" s="808" t="s">
        <v>251</v>
      </c>
      <c r="S8" s="1408">
        <v>0</v>
      </c>
      <c r="T8" s="810">
        <f>L52</f>
        <v>0</v>
      </c>
      <c r="U8" s="810">
        <f>L55</f>
        <v>2164.8558753351904</v>
      </c>
      <c r="V8" s="810">
        <f>L58</f>
        <v>0</v>
      </c>
      <c r="W8" s="810">
        <f>L61</f>
        <v>0</v>
      </c>
      <c r="X8" s="810">
        <f>L64</f>
        <v>0</v>
      </c>
      <c r="Y8" s="810">
        <f>L67</f>
        <v>0</v>
      </c>
      <c r="Z8" s="810">
        <f>L70</f>
        <v>3413.481884980622</v>
      </c>
      <c r="AA8" s="810">
        <f>L73</f>
        <v>307.17570840289852</v>
      </c>
      <c r="AB8" s="1407"/>
    </row>
    <row r="9" spans="1:28" s="1758" customFormat="1" ht="17.649999999999999" customHeight="1" x14ac:dyDescent="0.25">
      <c r="A9" s="1499"/>
      <c r="B9" s="1803" t="s">
        <v>509</v>
      </c>
      <c r="C9" s="1761" t="s">
        <v>249</v>
      </c>
      <c r="D9" s="1763">
        <f>D44</f>
        <v>28938.021250000005</v>
      </c>
      <c r="E9" s="1499"/>
      <c r="F9" s="1803" t="s">
        <v>842</v>
      </c>
      <c r="G9" s="1761" t="s">
        <v>243</v>
      </c>
      <c r="H9" s="1764">
        <f>IF('R-Definição'!$E$121="Existente",((D88+D89)*D44+(D89*D11))/1000000,((D85+D88)*D44+(D89*D11))/1000000)</f>
        <v>1.4469010625000003</v>
      </c>
      <c r="I9" s="1499"/>
      <c r="J9" s="1499"/>
      <c r="K9" s="1757"/>
      <c r="L9" s="1499"/>
      <c r="M9" s="1499"/>
      <c r="N9" s="1499"/>
      <c r="O9" s="1499"/>
      <c r="P9" s="1499"/>
      <c r="Q9" s="1499"/>
      <c r="R9" s="808" t="s">
        <v>252</v>
      </c>
      <c r="S9" s="1408">
        <f>L92</f>
        <v>42.800000000000004</v>
      </c>
      <c r="T9" s="809">
        <f>P53</f>
        <v>0</v>
      </c>
      <c r="U9" s="809">
        <f>P56</f>
        <v>53.168040110567048</v>
      </c>
      <c r="V9" s="809">
        <f>P59</f>
        <v>0</v>
      </c>
      <c r="W9" s="809">
        <f>P62</f>
        <v>0</v>
      </c>
      <c r="X9" s="809">
        <f>P65</f>
        <v>0</v>
      </c>
      <c r="Y9" s="809">
        <f>P68</f>
        <v>0</v>
      </c>
      <c r="Z9" s="809">
        <f>P71</f>
        <v>274.23896328770059</v>
      </c>
      <c r="AA9" s="809">
        <f>IF('R-Definição'!E121="Novo",P74,(D44+D46)*D89/D40)</f>
        <v>38.484942251408157</v>
      </c>
      <c r="AB9" s="1407"/>
    </row>
    <row r="10" spans="1:28" s="1758" customFormat="1" ht="17.649999999999999" customHeight="1" x14ac:dyDescent="0.25">
      <c r="A10" s="1499"/>
      <c r="B10" s="1802" t="s">
        <v>664</v>
      </c>
      <c r="C10" s="1759" t="s">
        <v>194</v>
      </c>
      <c r="D10" s="1765">
        <f>D45</f>
        <v>0.80179437499999995</v>
      </c>
      <c r="E10" s="1499"/>
      <c r="F10" s="1803" t="str">
        <f>IF(D24="Sim","Custo Total Rota Tecnológica COM Coleta","Custo Total Rota Tecnológica SEM Coleta")</f>
        <v>Custo Total Rota Tecnológica SEM Coleta</v>
      </c>
      <c r="G10" s="1761" t="s">
        <v>243</v>
      </c>
      <c r="H10" s="1766">
        <f>H6+H8+H9</f>
        <v>54.867125127352665</v>
      </c>
      <c r="I10" s="1499"/>
      <c r="J10" s="1499"/>
      <c r="K10" s="1757"/>
      <c r="L10" s="1499"/>
      <c r="M10" s="1499"/>
      <c r="N10" s="1499"/>
      <c r="O10" s="1499"/>
      <c r="P10" s="1499"/>
      <c r="Q10" s="1499"/>
      <c r="R10" s="808" t="s">
        <v>253</v>
      </c>
      <c r="S10" s="1408">
        <v>0</v>
      </c>
      <c r="T10" s="810">
        <f>P52</f>
        <v>0</v>
      </c>
      <c r="U10" s="810">
        <f>P55</f>
        <v>423.98539334177423</v>
      </c>
      <c r="V10" s="810">
        <f>P58</f>
        <v>0</v>
      </c>
      <c r="W10" s="810">
        <f>P61</f>
        <v>0</v>
      </c>
      <c r="X10" s="810">
        <f>P64</f>
        <v>0</v>
      </c>
      <c r="Y10" s="810">
        <f>P67</f>
        <v>0</v>
      </c>
      <c r="Z10" s="810">
        <f>P70</f>
        <v>275.83758076058143</v>
      </c>
      <c r="AA10" s="809">
        <f>IF('R-Definição'!E121="Novo",P73,D89)</f>
        <v>117.5216674778345</v>
      </c>
      <c r="AB10" s="1407"/>
    </row>
    <row r="11" spans="1:28" s="1758" customFormat="1" ht="17.649999999999999" customHeight="1" x14ac:dyDescent="0.25">
      <c r="A11" s="1499"/>
      <c r="B11" s="1803" t="s">
        <v>510</v>
      </c>
      <c r="C11" s="1761" t="s">
        <v>249</v>
      </c>
      <c r="D11" s="1763">
        <f>'R-Fluxo Massa'!AS49*312</f>
        <v>0</v>
      </c>
      <c r="E11" s="1499"/>
      <c r="F11" s="1802" t="s">
        <v>1018</v>
      </c>
      <c r="G11" s="1759" t="s">
        <v>243</v>
      </c>
      <c r="H11" s="1756">
        <f>H91*(1-D26)</f>
        <v>0</v>
      </c>
      <c r="I11" s="1499"/>
      <c r="J11" s="1499"/>
      <c r="K11" s="1757"/>
      <c r="L11" s="1499"/>
      <c r="M11" s="1499"/>
      <c r="N11" s="1499"/>
      <c r="O11" s="1499"/>
      <c r="P11" s="1499"/>
      <c r="Q11" s="1499"/>
      <c r="R11" s="808" t="s">
        <v>702</v>
      </c>
      <c r="S11" s="1408">
        <v>0</v>
      </c>
      <c r="T11" s="809">
        <f>IF(T12&gt;0,($P36*$D101+$P37*$D102+$P38*$D103+$P39*$D104+$P40*$D105+$P41*$D106)/(T12*312),0)</f>
        <v>0</v>
      </c>
      <c r="U11" s="811">
        <f>IF(U12&gt;0,($L36*$D101+$L37*$D102+$L38*$D103+$L39*$D104+$L40*$D105+$L41*$D106)/(U12*312),0)</f>
        <v>45.926300813318825</v>
      </c>
      <c r="V11" s="811">
        <f>IF(V12&gt;0,($L44*$D112+$L46*$D111)/(V12*312),0)</f>
        <v>0</v>
      </c>
      <c r="W11" s="811">
        <f>IF(W12&gt;0,($L45*$D112+$L47*$D111)/(W12*312),0)</f>
        <v>0</v>
      </c>
      <c r="X11" s="811">
        <f>IF(X12&gt;0,($P42*$D114+$P45*$D117)/(X12*312),0)</f>
        <v>0</v>
      </c>
      <c r="Y11" s="811">
        <f>IF(Y12&gt;0,($L48*$D108+$L49*$D109)/(Y12*312),0)</f>
        <v>0</v>
      </c>
      <c r="Z11" s="811">
        <f>IF(Z12&gt;0,($P43*$D114)/(Z12*312),0)</f>
        <v>329.9905932351445</v>
      </c>
      <c r="AA11" s="811">
        <f>IF(AA12&gt;0,($P44*$D114+$P46*$D117)/(AA12*312),0)</f>
        <v>0</v>
      </c>
      <c r="AB11" s="1407"/>
    </row>
    <row r="12" spans="1:28" s="1758" customFormat="1" ht="17.649999999999999" customHeight="1" x14ac:dyDescent="0.25">
      <c r="A12" s="1499"/>
      <c r="B12" s="1802" t="s">
        <v>511</v>
      </c>
      <c r="C12" s="1759" t="s">
        <v>194</v>
      </c>
      <c r="D12" s="1765">
        <f>(D16)/D8</f>
        <v>3.4281208446504681E-2</v>
      </c>
      <c r="E12" s="1499"/>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54.867125127352665</v>
      </c>
      <c r="I12" s="1499"/>
      <c r="J12" s="1499"/>
      <c r="K12" s="1757"/>
      <c r="L12" s="1499"/>
      <c r="M12" s="1499"/>
      <c r="N12" s="1499"/>
      <c r="O12" s="1499"/>
      <c r="P12" s="1499"/>
      <c r="Q12" s="1499"/>
      <c r="R12" s="808" t="s">
        <v>254</v>
      </c>
      <c r="S12" s="1408">
        <f>D38</f>
        <v>467.94871794871796</v>
      </c>
      <c r="T12" s="809">
        <f>$H52/312</f>
        <v>0</v>
      </c>
      <c r="U12" s="809">
        <f>$H55/312</f>
        <v>58.681069197896136</v>
      </c>
      <c r="V12" s="809">
        <f>$H58/312</f>
        <v>0</v>
      </c>
      <c r="W12" s="809">
        <f>$H61/312</f>
        <v>0</v>
      </c>
      <c r="X12" s="809">
        <f>$H64/312</f>
        <v>0</v>
      </c>
      <c r="Y12" s="809">
        <f>$H67/312</f>
        <v>0</v>
      </c>
      <c r="Z12" s="809">
        <f>$H70/312</f>
        <v>465.23671984149001</v>
      </c>
      <c r="AA12" s="809">
        <f>(D44+D46)/312</f>
        <v>92.750068108974375</v>
      </c>
      <c r="AB12" s="1407"/>
    </row>
    <row r="13" spans="1:28" s="1758" customFormat="1" ht="17.649999999999999" customHeight="1" thickBot="1" x14ac:dyDescent="0.3">
      <c r="A13" s="1499"/>
      <c r="B13" s="1804" t="s">
        <v>843</v>
      </c>
      <c r="C13" s="1767" t="s">
        <v>194</v>
      </c>
      <c r="D13" s="1768">
        <f>D16/((SUM('R-Entrada'!G28:G33))*312)</f>
        <v>0.10746460328057891</v>
      </c>
      <c r="E13" s="1499"/>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375.80222689967576</v>
      </c>
      <c r="I13" s="1499"/>
      <c r="J13" s="1499"/>
      <c r="K13" s="1757"/>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58" customFormat="1" ht="17.649999999999999" customHeight="1" x14ac:dyDescent="0.25">
      <c r="A16" s="1499"/>
      <c r="B16" s="1803" t="s">
        <v>515</v>
      </c>
      <c r="C16" s="1770" t="s">
        <v>249</v>
      </c>
      <c r="D16" s="1771">
        <f>H36</f>
        <v>5005.056433189683</v>
      </c>
      <c r="E16" s="61"/>
      <c r="F16" s="1802" t="s">
        <v>516</v>
      </c>
      <c r="G16" s="1772" t="s">
        <v>255</v>
      </c>
      <c r="H16" s="1756">
        <f>K78</f>
        <v>549.8016174721223</v>
      </c>
      <c r="I16" s="1499"/>
      <c r="J16" s="1499"/>
      <c r="K16" s="1757"/>
      <c r="L16" s="1499"/>
      <c r="M16" s="1499"/>
      <c r="N16" s="1499"/>
      <c r="O16" s="1499"/>
      <c r="P16" s="1499"/>
      <c r="Q16" s="1499"/>
      <c r="R16" s="1403"/>
      <c r="S16" s="1404"/>
      <c r="T16" s="1404"/>
      <c r="U16" s="1404"/>
      <c r="V16" s="1404"/>
      <c r="W16" s="1404"/>
      <c r="X16" s="1404"/>
      <c r="Y16" s="1404"/>
      <c r="Z16" s="1404"/>
      <c r="AA16" s="1406"/>
    </row>
    <row r="17" spans="1:26" s="1758" customFormat="1" ht="17.649999999999999" customHeight="1" x14ac:dyDescent="0.25">
      <c r="A17" s="1499"/>
      <c r="B17" s="1803" t="s">
        <v>517</v>
      </c>
      <c r="C17" s="1770" t="s">
        <v>249</v>
      </c>
      <c r="D17" s="1771">
        <f>SUM(P36:P41)</f>
        <v>0</v>
      </c>
      <c r="E17" s="61"/>
      <c r="F17" s="1802" t="s">
        <v>518</v>
      </c>
      <c r="G17" s="1772" t="s">
        <v>194</v>
      </c>
      <c r="H17" s="1773">
        <f>G76</f>
        <v>0.27003400919833659</v>
      </c>
      <c r="I17" s="1499"/>
      <c r="J17" s="1499"/>
      <c r="K17" s="1757"/>
      <c r="L17" s="1499"/>
      <c r="M17" s="1499"/>
      <c r="N17" s="1499"/>
      <c r="O17" s="1499"/>
      <c r="P17" s="1499"/>
      <c r="Q17" s="1499"/>
      <c r="R17" s="1403"/>
      <c r="S17" s="1404"/>
      <c r="T17" s="1404"/>
      <c r="U17" s="1404"/>
      <c r="V17" s="1404"/>
      <c r="W17" s="1404"/>
      <c r="X17" s="1404"/>
      <c r="Y17" s="1404"/>
      <c r="Z17" s="1404"/>
    </row>
    <row r="18" spans="1:26" s="1758" customFormat="1" ht="17.649999999999999" customHeight="1" x14ac:dyDescent="0.25">
      <c r="A18" s="1499"/>
      <c r="B18" s="1803" t="s">
        <v>895</v>
      </c>
      <c r="C18" s="1770" t="s">
        <v>249</v>
      </c>
      <c r="D18" s="1771">
        <f>H37+H38</f>
        <v>0</v>
      </c>
      <c r="E18" s="61"/>
      <c r="F18" s="1803" t="s">
        <v>519</v>
      </c>
      <c r="G18" s="1770" t="s">
        <v>256</v>
      </c>
      <c r="H18" s="1763">
        <f>H24*1000000/D40</f>
        <v>4801.7353695174743</v>
      </c>
      <c r="I18" s="1499"/>
      <c r="J18" s="1499"/>
      <c r="K18" s="1757"/>
      <c r="L18" s="1499"/>
      <c r="M18" s="1499"/>
      <c r="N18" s="1499"/>
      <c r="O18" s="1499"/>
      <c r="P18" s="1499"/>
      <c r="Q18" s="1499"/>
      <c r="R18" s="1403"/>
      <c r="S18" s="1404"/>
      <c r="T18" s="1404"/>
      <c r="U18" s="1404"/>
      <c r="V18" s="1404"/>
      <c r="W18" s="1404"/>
      <c r="X18" s="1404"/>
      <c r="Y18" s="1404"/>
      <c r="Z18" s="1404"/>
    </row>
    <row r="19" spans="1:26" s="1758" customFormat="1" ht="17.649999999999999" customHeight="1" x14ac:dyDescent="0.25">
      <c r="A19" s="1499"/>
      <c r="B19" s="1803" t="s">
        <v>520</v>
      </c>
      <c r="C19" s="1770" t="s">
        <v>249</v>
      </c>
      <c r="D19" s="1771">
        <f>H39+H40</f>
        <v>0</v>
      </c>
      <c r="E19" s="61"/>
      <c r="F19" s="1803" t="str">
        <f>J77</f>
        <v>Reinvestimento Total Rota (cada 5 anos)</v>
      </c>
      <c r="G19" s="1774" t="s">
        <v>255</v>
      </c>
      <c r="H19" s="1775">
        <f>K77</f>
        <v>17.044850975646415</v>
      </c>
      <c r="I19" s="1499"/>
      <c r="J19" s="1499"/>
      <c r="K19" s="1757"/>
      <c r="L19" s="1499"/>
      <c r="M19" s="1499"/>
      <c r="N19" s="1499"/>
      <c r="O19" s="1499"/>
      <c r="P19" s="1499"/>
      <c r="Q19" s="1499"/>
      <c r="R19" s="805"/>
      <c r="S19" s="806"/>
      <c r="T19" s="806"/>
      <c r="U19" s="806"/>
      <c r="V19" s="806"/>
      <c r="W19" s="806"/>
      <c r="X19" s="806"/>
      <c r="Y19" s="806"/>
      <c r="Z19" s="1385"/>
    </row>
    <row r="20" spans="1:26" s="1758" customFormat="1" ht="17.649999999999999" customHeight="1" x14ac:dyDescent="0.25">
      <c r="A20" s="1499"/>
      <c r="B20" s="1803" t="s">
        <v>521</v>
      </c>
      <c r="C20" s="1770" t="s">
        <v>257</v>
      </c>
      <c r="D20" s="1771">
        <f>H41</f>
        <v>95798.814493366008</v>
      </c>
      <c r="E20" s="61"/>
      <c r="F20" s="1805" t="s">
        <v>522</v>
      </c>
      <c r="G20" s="1776" t="s">
        <v>255</v>
      </c>
      <c r="H20" s="1777">
        <f>K75</f>
        <v>18.250165513087971</v>
      </c>
      <c r="I20" s="1499"/>
      <c r="J20" s="1499"/>
      <c r="K20" s="1757"/>
      <c r="L20" s="1499"/>
      <c r="M20" s="1499"/>
      <c r="N20" s="1499"/>
      <c r="O20" s="1499"/>
      <c r="P20" s="1499"/>
      <c r="Q20" s="1499"/>
      <c r="R20" s="805"/>
      <c r="S20" s="806"/>
      <c r="T20" s="806"/>
      <c r="U20" s="806"/>
      <c r="V20" s="806"/>
      <c r="W20" s="806"/>
      <c r="X20" s="806"/>
      <c r="Y20" s="806"/>
      <c r="Z20" s="1385"/>
    </row>
    <row r="21" spans="1:26" s="1758" customFormat="1" ht="17.649999999999999" customHeight="1" thickBot="1" x14ac:dyDescent="0.3">
      <c r="A21" s="1499"/>
      <c r="B21" s="1804" t="s">
        <v>523</v>
      </c>
      <c r="C21" s="1778" t="s">
        <v>258</v>
      </c>
      <c r="D21" s="1779">
        <f>H42</f>
        <v>0</v>
      </c>
      <c r="E21" s="61"/>
      <c r="F21" s="1806" t="s">
        <v>524</v>
      </c>
      <c r="G21" s="1780" t="s">
        <v>255</v>
      </c>
      <c r="H21" s="1781">
        <v>0</v>
      </c>
      <c r="I21" s="1499"/>
      <c r="J21" s="1499"/>
      <c r="K21" s="1757"/>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58" customFormat="1" ht="17.649999999999999" customHeight="1" x14ac:dyDescent="0.25">
      <c r="A24" s="1499"/>
      <c r="B24" s="1802" t="s">
        <v>526</v>
      </c>
      <c r="C24" s="1782" t="s">
        <v>259</v>
      </c>
      <c r="D24" s="1783" t="s">
        <v>7</v>
      </c>
      <c r="E24" s="1499"/>
      <c r="F24" s="1802" t="s">
        <v>860</v>
      </c>
      <c r="G24" s="1772" t="s">
        <v>255</v>
      </c>
      <c r="H24" s="1784">
        <f>'C-FCL Real'!G11</f>
        <v>701.05336394955123</v>
      </c>
      <c r="I24" s="1499"/>
      <c r="J24" s="1499"/>
      <c r="K24" s="1757"/>
      <c r="L24" s="1499"/>
      <c r="M24" s="1499"/>
      <c r="N24" s="1499"/>
      <c r="O24" s="1499"/>
      <c r="P24" s="1499"/>
      <c r="Q24" s="1499"/>
      <c r="R24" s="805"/>
      <c r="S24" s="806"/>
      <c r="T24" s="806"/>
      <c r="U24" s="806"/>
      <c r="V24" s="806"/>
      <c r="W24" s="806"/>
      <c r="X24" s="806"/>
      <c r="Y24" s="806"/>
      <c r="Z24" s="1385"/>
    </row>
    <row r="25" spans="1:26" s="1758" customFormat="1" ht="17.649999999999999" customHeight="1" thickBot="1" x14ac:dyDescent="0.3">
      <c r="A25" s="1499"/>
      <c r="B25" s="1802" t="s">
        <v>527</v>
      </c>
      <c r="C25" s="1782" t="s">
        <v>259</v>
      </c>
      <c r="D25" s="1783" t="s">
        <v>7</v>
      </c>
      <c r="E25" s="1499"/>
      <c r="F25" s="1809" t="s">
        <v>1014</v>
      </c>
      <c r="G25" s="1798" t="s">
        <v>194</v>
      </c>
      <c r="H25" s="1799">
        <f>'C-FCL Real'!C28</f>
        <v>9.74E-2</v>
      </c>
      <c r="I25" s="1499"/>
      <c r="J25" s="1499"/>
      <c r="K25" s="1757"/>
      <c r="L25" s="1499"/>
      <c r="M25" s="1499"/>
      <c r="N25" s="1499"/>
      <c r="O25" s="1499"/>
      <c r="P25" s="1499"/>
      <c r="Q25" s="1499"/>
      <c r="R25" s="805"/>
      <c r="S25" s="806"/>
      <c r="T25" s="806"/>
      <c r="U25" s="806"/>
      <c r="V25" s="806"/>
      <c r="W25" s="806"/>
      <c r="X25" s="806"/>
      <c r="Y25" s="806"/>
      <c r="Z25" s="1385"/>
    </row>
    <row r="26" spans="1:26" s="1758" customFormat="1" ht="17.649999999999999" customHeight="1" x14ac:dyDescent="0.25">
      <c r="A26" s="1499"/>
      <c r="B26" s="1803" t="s">
        <v>859</v>
      </c>
      <c r="C26" s="1774" t="s">
        <v>194</v>
      </c>
      <c r="D26" s="1785">
        <v>1</v>
      </c>
      <c r="E26" s="1499"/>
      <c r="F26" s="1810" t="str">
        <f>'C-FCL Real'!K28</f>
        <v>Índice de Retorno do Inv.: Pay Back</v>
      </c>
      <c r="G26" s="1796" t="s">
        <v>260</v>
      </c>
      <c r="H26" s="1797">
        <f>'C-FCL Real'!H13</f>
        <v>27.381018597335139</v>
      </c>
      <c r="I26" s="1499"/>
      <c r="J26" s="1499"/>
      <c r="K26" s="1757"/>
      <c r="L26" s="1499"/>
      <c r="M26" s="1499"/>
      <c r="N26" s="1499"/>
      <c r="O26" s="1499"/>
      <c r="P26" s="1499"/>
      <c r="Q26" s="1499"/>
      <c r="R26" s="805"/>
      <c r="S26" s="806"/>
      <c r="T26" s="806"/>
      <c r="U26" s="806"/>
      <c r="V26" s="806"/>
      <c r="W26" s="806"/>
      <c r="X26" s="806"/>
      <c r="Y26" s="806"/>
      <c r="Z26" s="1385"/>
    </row>
    <row r="27" spans="1:26" s="1758" customFormat="1" ht="17.649999999999999" customHeight="1" x14ac:dyDescent="0.25">
      <c r="A27" s="1499"/>
      <c r="B27" s="1807" t="s">
        <v>528</v>
      </c>
      <c r="C27" s="1774" t="s">
        <v>194</v>
      </c>
      <c r="D27" s="1786">
        <v>4.7000000000000002E-3</v>
      </c>
      <c r="E27" s="1499"/>
      <c r="F27" s="1802" t="str">
        <f>'C-FCL Real'!K26</f>
        <v>Índice de Retorno do Inv.: VPL</v>
      </c>
      <c r="G27" s="1772" t="s">
        <v>255</v>
      </c>
      <c r="H27" s="1784">
        <f>'C-FCL Real'!H8</f>
        <v>246.24426152267753</v>
      </c>
      <c r="I27" s="1499"/>
      <c r="J27" s="1499"/>
      <c r="K27" s="1757"/>
      <c r="L27" s="1499"/>
      <c r="M27" s="1499"/>
      <c r="N27" s="1499"/>
      <c r="O27" s="1499"/>
      <c r="P27" s="1499"/>
      <c r="Q27" s="1499"/>
      <c r="R27" s="805"/>
      <c r="S27" s="806"/>
      <c r="T27" s="806"/>
      <c r="U27" s="806"/>
      <c r="V27" s="806"/>
      <c r="W27" s="806"/>
      <c r="X27" s="806"/>
      <c r="Y27" s="806"/>
      <c r="Z27" s="1385"/>
    </row>
    <row r="28" spans="1:26" s="1758" customFormat="1" ht="17.649999999999999" customHeight="1" x14ac:dyDescent="0.25">
      <c r="A28" s="1499"/>
      <c r="B28" s="1803" t="s">
        <v>1015</v>
      </c>
      <c r="C28" s="1774" t="s">
        <v>243</v>
      </c>
      <c r="D28" s="1787">
        <v>1</v>
      </c>
      <c r="E28" s="1499"/>
      <c r="F28" s="1803" t="str">
        <f>'C-FCL Real'!K27</f>
        <v>Índice de Retorno do Inv.: TIR</v>
      </c>
      <c r="G28" s="1774" t="s">
        <v>194</v>
      </c>
      <c r="H28" s="1788">
        <f>'C-FCL Real'!H9</f>
        <v>5.5470389944018317E-2</v>
      </c>
      <c r="I28" s="1499"/>
      <c r="J28" s="1499"/>
      <c r="K28" s="1757"/>
      <c r="L28" s="1499"/>
      <c r="M28" s="1499"/>
      <c r="N28" s="1499"/>
      <c r="O28" s="1499"/>
      <c r="P28" s="1499"/>
      <c r="Q28" s="1499"/>
      <c r="R28" s="805"/>
      <c r="S28" s="806"/>
      <c r="T28" s="806"/>
      <c r="U28" s="806"/>
      <c r="V28" s="806"/>
      <c r="W28" s="806"/>
      <c r="X28" s="806"/>
      <c r="Y28" s="806"/>
      <c r="Z28" s="1385"/>
    </row>
    <row r="29" spans="1:26" s="1758" customFormat="1" ht="17.649999999999999" customHeight="1" thickBot="1" x14ac:dyDescent="0.3">
      <c r="A29" s="1499"/>
      <c r="B29" s="1803" t="s">
        <v>1016</v>
      </c>
      <c r="C29" s="1774" t="s">
        <v>255</v>
      </c>
      <c r="D29" s="1787">
        <v>0</v>
      </c>
      <c r="E29" s="1499"/>
      <c r="F29" s="1811" t="str">
        <f>'C-FCL Real'!O26</f>
        <v>Taxa de Lucratividade do Investimento</v>
      </c>
      <c r="G29" s="1789" t="s">
        <v>194</v>
      </c>
      <c r="H29" s="1790">
        <f>'C-FCL Real'!H14</f>
        <v>1.3512489550515838</v>
      </c>
      <c r="I29" s="1499"/>
      <c r="J29" s="1499"/>
      <c r="K29" s="1757"/>
      <c r="L29" s="1499"/>
      <c r="M29" s="1499"/>
      <c r="N29" s="1499"/>
      <c r="O29" s="1499"/>
      <c r="P29" s="1499"/>
      <c r="Q29" s="1499"/>
      <c r="R29" s="805"/>
      <c r="S29" s="806"/>
      <c r="T29" s="806"/>
      <c r="U29" s="806"/>
      <c r="V29" s="806"/>
      <c r="W29" s="806"/>
      <c r="X29" s="806"/>
      <c r="Y29" s="806"/>
      <c r="Z29" s="1385"/>
    </row>
    <row r="30" spans="1:26" s="1758" customFormat="1" ht="17.649999999999999" customHeight="1" x14ac:dyDescent="0.25">
      <c r="A30" s="1499"/>
      <c r="B30" s="1805" t="s">
        <v>1017</v>
      </c>
      <c r="C30" s="1776" t="s">
        <v>255</v>
      </c>
      <c r="D30" s="1791">
        <v>0</v>
      </c>
      <c r="E30" s="1499"/>
      <c r="F30" s="1812" t="s">
        <v>861</v>
      </c>
      <c r="G30" s="1800" t="s">
        <v>262</v>
      </c>
      <c r="H30" s="1801">
        <f>D32*(D8*H33+D31*312*H31)/1000000000</f>
        <v>3.7170299911914015</v>
      </c>
      <c r="I30" s="1499"/>
      <c r="J30" s="1499"/>
      <c r="K30" s="1757"/>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08" t="s">
        <v>1010</v>
      </c>
      <c r="C31" s="1751" t="s">
        <v>21</v>
      </c>
      <c r="D31" s="1752">
        <v>60</v>
      </c>
      <c r="E31" s="881"/>
      <c r="F31" s="1813" t="str">
        <f>IF('R-Definição'!$E$121="Existente","TEP Disp. RPU | Custo p/ Disp. RPU Aterro Sanitário","TEP Disp. RPU| Custo Calc. na Aba 'Aterro Sanitário'")</f>
        <v>TEP Disp. RPU| Custo Calc. na Aba 'Aterro Sanitário'</v>
      </c>
      <c r="G31" s="1792" t="s">
        <v>293</v>
      </c>
      <c r="H31" s="1793">
        <f>IF('R-Definição'!$E$121="Existente",P89,P73)</f>
        <v>117.5216674778345</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4" t="s">
        <v>606</v>
      </c>
      <c r="C32" s="1748" t="s">
        <v>260</v>
      </c>
      <c r="D32" s="1829">
        <v>35</v>
      </c>
      <c r="E32" s="885"/>
      <c r="F32" s="1814" t="s">
        <v>1019</v>
      </c>
      <c r="G32" s="1748" t="s">
        <v>1012</v>
      </c>
      <c r="H32" s="1817">
        <f>'C-Calc Tarifa'!M32</f>
        <v>57.210911309879066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5" t="s">
        <v>1011</v>
      </c>
      <c r="C33" s="1749" t="s">
        <v>246</v>
      </c>
      <c r="D33" s="1750">
        <v>674.41757322989974</v>
      </c>
      <c r="E33" s="885"/>
      <c r="F33" s="1816" t="s">
        <v>1013</v>
      </c>
      <c r="G33" s="1794" t="s">
        <v>246</v>
      </c>
      <c r="H33" s="1795">
        <v>712.33459778080703</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D34">
        <f>IF('C-Triagem Mec'!E7="SIM",'C-Triagem Mec'!E29*'C-Triagem Mec'!E30,IF('C-Triagem Mec'!I7="SIM",'C-Triagem Mec'!I29*'C-Triagem Mec'!I30,IF('C-Triagem Mec'!M7="SIM",'C-Triagem Mec'!M29*'C-Triagem Mec'!M30,IF('C-Triagem Mec'!Q7="SIM",'C-Triagem Mec'!Q29*'C-Triagem Mec'!Q30,IF('C-Triagem Mec'!U7="SIM",'C-Triagem Mec'!U29*'C-Triagem Mec'!U30)))))+IF('C-Incineração'!E7="SIM",'C-Incineração'!E31*4+'C-Incineração'!E32,IF('C-Incineração'!I7="SIM",'C-Incineração'!I31*4+'C-Incineração'!I32,IF('C-Incineração'!M7="SIM",'C-Incineração'!M31*4+'C-Incineração'!M32,IF('C-Incineração'!Q7="SIM",'C-Incineração'!Q31*4+'C-Incineração'!Q32,IF('C-Incineração'!U7="SIM",'C-Incineração'!U31*4+'C-Incineração'!U32)))))+1+5+15</f>
        <v>158</v>
      </c>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5005.056433189683</v>
      </c>
      <c r="I36" s="139"/>
      <c r="J36" s="1313" t="s">
        <v>806</v>
      </c>
      <c r="K36" s="246" t="s">
        <v>249</v>
      </c>
      <c r="L36" s="1324">
        <f>('R-Resumo Bal. Massa'!F58+'R-Resumo Bal. Massa'!G58)*312*D48/D8</f>
        <v>583.2065511166843</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0</v>
      </c>
      <c r="I37" s="139"/>
      <c r="J37" s="1313" t="s">
        <v>807</v>
      </c>
      <c r="K37" s="1276" t="s">
        <v>249</v>
      </c>
      <c r="L37" s="1324">
        <f>('R-Resumo Bal. Massa'!F59+'R-Resumo Bal. Massa'!G59)*312*D48/D8</f>
        <v>396.22429808690765</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204.79008665166012</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0</v>
      </c>
      <c r="I39" s="139"/>
      <c r="J39" s="1313" t="s">
        <v>809</v>
      </c>
      <c r="K39" s="1276" t="s">
        <v>249</v>
      </c>
      <c r="L39" s="1324">
        <f>('R-Resumo Bal. Massa'!F61+'R-Resumo Bal. Massa'!G61)*312*D48/D8</f>
        <v>106.84700173130095</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26.711750432825237</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95798.814493366008</v>
      </c>
      <c r="I41" s="139"/>
      <c r="J41" s="1313" t="s">
        <v>811</v>
      </c>
      <c r="K41" s="1276" t="s">
        <v>249</v>
      </c>
      <c r="L41" s="1324">
        <f>('R-Resumo Bal. Massa'!F62+'R-Resumo Bal. Massa'!G62)*312*D48/D8</f>
        <v>102.39504332583006</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741.69966245058095</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2843.1820393938938</v>
      </c>
      <c r="M43" s="139"/>
      <c r="N43" s="1313" t="s">
        <v>829</v>
      </c>
      <c r="O43" s="1276" t="s">
        <v>257</v>
      </c>
      <c r="P43" s="1324">
        <f>'R-Resumo Bal. Massa'!J74*312/1000*D48/D8</f>
        <v>95798.814493366008</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28938.021250000005</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0.80179437499999995</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1026</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18308.493589743593</v>
      </c>
      <c r="I55" s="609"/>
      <c r="J55" s="899" t="s">
        <v>277</v>
      </c>
      <c r="K55" s="1409">
        <f>IF('C-Triagem Mec'!$E$7="SIM",'C-Triagem Mec'!$E$19,IF('C-Triagem Mec'!$I$7="SIM",'C-Triagem Mec'!$I$19,IF('C-Triagem Mec'!$M$7="SIM",'C-Triagem Mec'!$M$19,IF('C-Triagem Mec'!$Q$7="SIM",'C-Triagem Mec'!$Q$19,IF('C-Triagem Mec'!$U$7="SIM",'C-Triagem Mec'!$U$19,0)))))</f>
        <v>39.635249916293091</v>
      </c>
      <c r="L55" s="899">
        <f>IF('C-Triagem Mec'!$E$7="SIM",'C-Triagem Mec'!$E$20,IF('C-Triagem Mec'!$I$7="SIM",'C-Triagem Mec'!$I$20,IF('C-Triagem Mec'!$M$7="SIM",'C-Triagem Mec'!$M$20,IF('C-Triagem Mec'!$Q$7="SIM",'C-Triagem Mec'!$Q$20,IF('C-Triagem Mec'!$U$7="SIM",'C-Triagem Mec'!$U$20,0)))))</f>
        <v>2164.8558753351904</v>
      </c>
      <c r="M55" s="133"/>
      <c r="N55" s="899" t="s">
        <v>277</v>
      </c>
      <c r="O55" s="1409">
        <f>IF('C-Triagem Mec'!$E$7="SIM",'C-Triagem Mec'!$E$43,IF('C-Triagem Mec'!$I$7="SIM",'C-Triagem Mec'!$I$43,IF('C-Triagem Mec'!$M$7="SIM",'C-Triagem Mec'!$M$43,IF('C-Triagem Mec'!$Q$7="SIM",'C-Triagem Mec'!$Q$43,IF('C-Triagem Mec'!$U$7="SIM",'C-Triagem Mec'!$U$43,0)))))</f>
        <v>7.762533856142789</v>
      </c>
      <c r="P55" s="899">
        <f>IF('C-Triagem Mec'!$E$7="SIM",'C-Triagem Mec'!$E$42,IF('C-Triagem Mec'!$I$7="SIM",'C-Triagem Mec'!$I$42,IF('C-Triagem Mec'!$M$7="SIM",'C-Triagem Mec'!$M$42,IF('C-Triagem Mec'!$Q$7="SIM",'C-Triagem Mec'!$Q$42,IF('C-Triagem Mec'!$U$7="SIM",'C-Triagem Mec'!$U$42,0)))))</f>
        <v>423.98539334177423</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271.47431449515818</v>
      </c>
      <c r="M56" s="133"/>
      <c r="N56" s="1313" t="s">
        <v>274</v>
      </c>
      <c r="O56" s="253">
        <f>IF(AND(H55&gt;0,D98="Não"),((L36*D101)+(L37*D102)+(L38*D103)+(L39*D104)+(L40*D106)+(L41*D105))/$D$40,((L36*D101)+(L37*D102)+(L38*D103)+(L39*D104)+(L40*D106)+(L41*D105))/$D$40*(1-D99))</f>
        <v>0</v>
      </c>
      <c r="P56" s="1299">
        <f>IF(O55&gt;0,O55*1000000/$D$40,0)</f>
        <v>53.168040110567048</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12134.725575051662</v>
      </c>
      <c r="H57" s="1352"/>
      <c r="I57" s="609"/>
      <c r="J57" s="1342" t="s">
        <v>275</v>
      </c>
      <c r="K57" s="246">
        <f>IF('C-Triagem Mec'!$E$7="SIM",'C-Triagem Mec'!$E$23,IF('C-Triagem Mec'!$I$7="SIM",'C-Triagem Mec'!$I$23,IF('C-Triagem Mec'!$M$7="SIM",'C-Triagem Mec'!$M$23,IF('C-Triagem Mec'!$Q$7="SIM",'C-Triagem Mec'!$Q$23,IF('C-Triagem Mec'!$U$7="SIM",'C-Triagem Mec'!$U$23,"0")))))</f>
        <v>0.7341008054290088</v>
      </c>
      <c r="L57" s="1343"/>
      <c r="M57" s="133"/>
      <c r="N57" s="1313" t="s">
        <v>276</v>
      </c>
      <c r="O57" s="253">
        <f>IF('C-Triagem Mec'!$E$7="SIM",'C-Triagem Mec'!$E$44,IF('C-Triagem Mec'!$I$7="SIM",'C-Triagem Mec'!$I$44,IF('C-Triagem Mec'!$M$7="SIM",'C-Triagem Mec'!$M$44,IF('C-Triagem Mec'!$Q$7="SIM",'C-Triagem Mec'!$Q$44,IF('C-Triagem Mec'!$U$7="SIM",'C-Triagem Mec'!$U$44,0)))))</f>
        <v>2.7311999999999999</v>
      </c>
      <c r="P57" s="1318">
        <f>IF('C-Triagem Mec'!$E$7="SIM",'C-Triagem Mec'!$E$45,IF('C-Triagem Mec'!$I$7="SIM",'C-Triagem Mec'!$I$45,IF('C-Triagem Mec'!$M$7="SIM",'C-Triagem Mec'!$M$45,IF('C-Triagem Mec'!$Q$7="SIM",'C-Triagem Mec'!$Q$45,IF('C-Triagem Mec'!$U$7="SIM",'C-Triagem Mec'!$U$45,0)))))</f>
        <v>274.80872915515778</v>
      </c>
      <c r="Q57" s="133"/>
      <c r="R57" s="805"/>
      <c r="S57" s="806"/>
      <c r="T57" s="806"/>
      <c r="U57" s="806"/>
      <c r="V57" s="806"/>
      <c r="W57" s="806"/>
      <c r="X57" s="806"/>
      <c r="Y57" s="806"/>
      <c r="Z57" s="1385"/>
    </row>
    <row r="58" spans="1:26" ht="17.649999999999999" hidden="1" customHeight="1" outlineLevel="1" x14ac:dyDescent="0.25">
      <c r="A58" s="40"/>
      <c r="B58" s="1313" t="s">
        <v>1020</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814" t="s">
        <v>281</v>
      </c>
      <c r="D66" s="2815"/>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Sim</v>
      </c>
      <c r="H70" s="899">
        <f>IF('C-Incineração'!D2&gt;0,'C-Incineração'!H2,0)</f>
        <v>145153.85659054489</v>
      </c>
      <c r="I70" s="609"/>
      <c r="J70" s="899" t="s">
        <v>63</v>
      </c>
      <c r="K70" s="1409">
        <f>IF('C-Incineração'!$E$7="SIM",'C-Incineração'!$E$19,IF('C-Incineração'!$I$7="SIM",'C-Incineração'!$I$19,IF('C-Incineração'!$M$7="SIM",'C-Incineração'!$M$19,IF('C-Incineração'!$Q$7="SIM",'C-Incineração'!$Q$19,IF('C-Incineração'!$U$7="SIM",'C-Incineração'!$U$19,0)))))</f>
        <v>495.48006000690009</v>
      </c>
      <c r="L70" s="899">
        <f>IF('C-Incineração'!$E$7="SIM",'C-Incineração'!$E$20,IF('C-Incineração'!$I$7="SIM",'C-Incineração'!$I$20,IF('C-Incineração'!$M$7="SIM",'C-Incineração'!$M$20,IF('C-Incineração'!$Q$7="SIM",'C-Incineração'!$Q$20,IF('C-Incineração'!$U$7="SIM",'C-Incineração'!$U$20,0)))))</f>
        <v>3413.481884980622</v>
      </c>
      <c r="M70" s="255"/>
      <c r="N70" s="899" t="s">
        <v>63</v>
      </c>
      <c r="O70" s="1409">
        <f>IF('C-Incineração'!$E$7="SIM",'C-Incineração'!$E$52,IF('C-Incineração'!$I$7="SIM",'C-Incineração'!$I$52,IF('C-Incineração'!$M$7="SIM",'C-Incineração'!$M$52,IF('C-Incineração'!$Q$7="SIM",'C-Incineração'!$Q$52,IF('C-Incineração'!$U$7="SIM",'C-Incineração'!$U$52,0)))))</f>
        <v>40.038888640004288</v>
      </c>
      <c r="P70" s="899">
        <f>IF('C-Incineração'!$E$7="SIM",'C-Incineração'!$E$51,IF('C-Incineração'!$I$7="SIM",'C-Incineração'!$I$51,IF('C-Incineração'!$M$7="SIM",'C-Incineração'!$M$51,IF('C-Incineração'!$Q$7="SIM",'C-Incineração'!$Q$51,IF('C-Incineração'!$U$7="SIM",'C-Incineração'!$U$51,0)))))</f>
        <v>275.83758076058143</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3393.6990411431511</v>
      </c>
      <c r="M71" s="256"/>
      <c r="N71" s="1313" t="s">
        <v>274</v>
      </c>
      <c r="O71" s="253">
        <f>IF(H70&gt;0,((P43*D114))/$D$40,0)</f>
        <v>328.07813182659589</v>
      </c>
      <c r="P71" s="1299">
        <f>IF(O70&gt;0,O70*1000000/$D$40,0)</f>
        <v>274.23896328770059</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f>IF('C-Incineração'!$E$7="SIM",'C-Incineração'!$D$17,IF('C-Incineração'!$I$7="SIM",'C-Incineração'!$H$17,IF('C-Incineração'!$M$7="SIM",'C-Incineração'!$L$17,IF('C-Incineração'!$Q$7="SIM",'C-Incineração'!$P$17,IF('C-Incineração'!$U$7="SIM",'C-Incineração'!$T$17,"0")))))</f>
        <v>96000</v>
      </c>
      <c r="H72" s="1355"/>
      <c r="I72" s="693"/>
      <c r="J72" s="1342" t="s">
        <v>275</v>
      </c>
      <c r="K72" s="246">
        <f>IF('C-Incineração'!$E$7="SIM",'C-Incineração'!$E$25,IF('C-Incineração'!$I$7="SIM",'C-Incineração'!$I$25,IF('C-Incineração'!$M$7="SIM",'C-Incineração'!$M$25,IF('C-Incineração'!$Q$7="SIM",'C-Incineração'!$Q$25,IF('C-Incineração'!$U$7="SIM",'C-Incineração'!$U$25,"0")))))</f>
        <v>16.310750170217407</v>
      </c>
      <c r="L72" s="1344"/>
      <c r="M72" s="256"/>
      <c r="N72" s="1313" t="s">
        <v>276</v>
      </c>
      <c r="O72" s="253">
        <f>IF('C-Incineração'!$E$7="SIM",'C-Incineração'!$E$53,IF('C-Incineração'!$I$7="SIM",'C-Incineração'!$I$53,IF('C-Incineração'!$M$7="SIM",'C-Incineração'!$M$53,IF('C-Incineração'!$Q$7="SIM",'C-Incineração'!$Q$53,IF('C-Incineração'!$U$7="SIM",'C-Incineração'!$U$53,0)))))</f>
        <v>10.822964579107685</v>
      </c>
      <c r="P72" s="1324">
        <f>IF('C-Incineração'!$E$7="SIM",'C-Incineração'!$E$54,IF('C-Incineração'!$I$7="SIM",'C-Incineração'!$I$54,IF('C-Incineração'!$M$7="SIM",'C-Incineração'!$M$54,IF('C-Incineração'!$Q$7="SIM",'C-Incineração'!$Q$54,IF('C-Incineração'!$U$7="SIM",'C-Incineração'!$U$54,0)))))</f>
        <v>201.27556199426317</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47810.771318108978</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14.686307548929108</v>
      </c>
      <c r="L73" s="899">
        <f>IF('C-Aterro Sanitário'!$E$7="SIM",'C-Aterro Sanitário'!$E$19,IF('C-Aterro Sanitário'!$I$7="SIM",'C-Aterro Sanitário'!$I$19,IF('C-Aterro Sanitário'!$M$7="SIM",'C-Aterro Sanitário'!$M$19,IF('C-Aterro Sanitário'!$Q$7="SIM",'C-Aterro Sanitário'!$Q$19,IF('C-Aterro Sanitário'!$U$7="SIM",'C-Aterro Sanitário'!$U$19,0)))))</f>
        <v>307.17570840289852</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5.6188015687055906</v>
      </c>
      <c r="P73" s="899">
        <f>IF('C-Aterro Sanitário'!$E$7="SIM",'C-Aterro Sanitário'!$E$45,IF('C-Aterro Sanitário'!$I$7="SIM",'C-Aterro Sanitário'!$I$45,IF('C-Aterro Sanitário'!$M$7="SIM",'C-Aterro Sanitário'!$M$45,IF('C-Aterro Sanitário'!$Q$7="SIM",'C-Aterro Sanitário'!$Q$45,IF('C-Aterro Sanitário'!$U$7="SIM",'C-Aterro Sanitário'!$U$45,0)))))</f>
        <v>117.5216674778345</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100.59114759540485</v>
      </c>
      <c r="M74" s="256"/>
      <c r="N74" s="1313" t="s">
        <v>274</v>
      </c>
      <c r="O74" s="253">
        <f>IF(H73&gt;0,((P44*D114+P46*D117))/$D$40,0)</f>
        <v>0</v>
      </c>
      <c r="P74" s="1299">
        <f>IF(O73&gt;0,O73*1000000/$D$40,0)</f>
        <v>38.484942251408157</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4">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18.250165513087971</v>
      </c>
      <c r="L75" s="1324">
        <f>IF(K73&gt;0,K75*1000000/(H73*20),0)</f>
        <v>19.085830462408243</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1.5429065006074307</v>
      </c>
      <c r="P75" s="1324">
        <f>IF('C-Aterro Sanitário'!$E$7="SIM",'C-Aterro Sanitário'!$E$48,IF('C-Aterro Sanitário'!$I$7="SIM",'C-Aterro Sanitário'!$I$48,IF('C-Aterro Sanitário'!$M$7="SIM",'C-Aterro Sanitário'!$M$48,IF('C-Aterro Sanitário'!$Q$7="SIM",'C-Aterro Sanitário'!$Q$48,IF('C-Aterro Sanitário'!$U$7="SIM",'C-Aterro Sanitário'!$U$48,0)))))</f>
        <v>85.250560819845205</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4">
        <v>1.0780000000000001</v>
      </c>
      <c r="E76" s="133"/>
      <c r="F76" s="1260" t="s">
        <v>287</v>
      </c>
      <c r="G76" s="250">
        <f>IF(K78&lt;&gt;0,(G53*K52+G56*K55+G59*K58+G62*K61+G65*K64+G68*K67+G71*K70+G74*K73)/K78,0)</f>
        <v>0.27003400919833659</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4">
        <v>7.26</v>
      </c>
      <c r="E77" s="133"/>
      <c r="F77" s="1260" t="s">
        <v>544</v>
      </c>
      <c r="G77" s="238">
        <f>G54+G57+G60+G63+G66+G69+G72</f>
        <v>108134.72557505166</v>
      </c>
      <c r="H77" s="1354"/>
      <c r="I77" s="693"/>
      <c r="J77" s="1345" t="s">
        <v>288</v>
      </c>
      <c r="K77" s="254">
        <f>K54+K57+K60+K63+K66+K69+K72</f>
        <v>17.044850975646415</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0" t="s">
        <v>1023</v>
      </c>
      <c r="C78" s="698" t="s">
        <v>1022</v>
      </c>
      <c r="D78" s="1825">
        <v>2.2000000000000002</v>
      </c>
      <c r="E78" s="133"/>
      <c r="F78" s="2812" t="s">
        <v>566</v>
      </c>
      <c r="G78" s="2813"/>
      <c r="H78" s="1334">
        <f>'R-Resumo Bal. Massa'!D16*312</f>
        <v>146000.00000000003</v>
      </c>
      <c r="I78" s="609"/>
      <c r="J78" s="1332" t="s">
        <v>290</v>
      </c>
      <c r="K78" s="1333">
        <f>K52+K55+K58+K61+K64+K67+K70+K73</f>
        <v>549.8016174721223</v>
      </c>
      <c r="L78" s="1334">
        <f>K78*1000000/H78</f>
        <v>3765.7645032337136</v>
      </c>
      <c r="M78" s="255"/>
      <c r="N78" s="1332" t="s">
        <v>548</v>
      </c>
      <c r="O78" s="1333">
        <f>O52+O55+O58+O61+O64+O67+O70+O73</f>
        <v>53.420224064852668</v>
      </c>
      <c r="P78" s="1334">
        <f>O78*1000000/H78</f>
        <v>365.89194564967573</v>
      </c>
      <c r="Q78" s="133"/>
      <c r="R78" s="805"/>
      <c r="S78" s="806"/>
      <c r="T78" s="806"/>
      <c r="U78" s="806"/>
      <c r="V78" s="806"/>
      <c r="W78" s="806"/>
      <c r="X78" s="806"/>
      <c r="Y78" s="806"/>
      <c r="Z78" s="1385"/>
    </row>
    <row r="79" spans="1:26" ht="15" hidden="1"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3.822474027092619</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0</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0</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47.899407246683005</v>
      </c>
      <c r="I85" s="139"/>
      <c r="J85" s="1313" t="s">
        <v>579</v>
      </c>
      <c r="K85" s="457" t="s">
        <v>243</v>
      </c>
      <c r="L85" s="1336">
        <f>IF('R-Definição'!O120="Sim",D85*D43/1000000,0)</f>
        <v>0</v>
      </c>
      <c r="M85" s="133"/>
      <c r="N85" s="1313" t="s">
        <v>669</v>
      </c>
      <c r="O85" s="455" t="s">
        <v>296</v>
      </c>
      <c r="P85" s="1372">
        <f>IF(O55&lt;&gt;0,O55*1000000/(SUM(L36:L41)),0)</f>
        <v>5465.9005577363105</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417.94764216812877</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t="s">
        <v>1033</v>
      </c>
      <c r="C91" s="457" t="s">
        <v>1034</v>
      </c>
      <c r="D91" s="1360">
        <v>15</v>
      </c>
      <c r="E91" s="133"/>
      <c r="F91" s="1348" t="s">
        <v>736</v>
      </c>
      <c r="G91" s="241" t="s">
        <v>243</v>
      </c>
      <c r="H91" s="1339">
        <f>SUM(H82:H89)</f>
        <v>51.721881273775622</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354.25946077928506</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1"/>
      <c r="E93" s="133"/>
      <c r="F93" s="1300" t="s">
        <v>732</v>
      </c>
      <c r="G93" s="1301" t="s">
        <v>837</v>
      </c>
      <c r="H93" s="1340">
        <f>H92*($D$7*30/$D$6)</f>
        <v>12.082833001178622</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805" t="s">
        <v>794</v>
      </c>
      <c r="C95" s="2806"/>
      <c r="D95" s="2806"/>
      <c r="E95" s="2806"/>
      <c r="F95" s="2806"/>
      <c r="G95" s="2806"/>
      <c r="H95" s="2806"/>
      <c r="I95" s="2806"/>
      <c r="J95" s="2806"/>
      <c r="K95" s="2806"/>
      <c r="L95" s="2807"/>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54.867125127352665</v>
      </c>
      <c r="I98" s="139"/>
      <c r="J98" s="1260" t="s">
        <v>583</v>
      </c>
      <c r="K98" s="210" t="s">
        <v>243</v>
      </c>
      <c r="L98" s="1365">
        <f>H98+L91</f>
        <v>61.115925127352668</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375.80222689967576</v>
      </c>
      <c r="I99" s="139"/>
      <c r="J99" s="1313" t="s">
        <v>584</v>
      </c>
      <c r="K99" s="457" t="s">
        <v>293</v>
      </c>
      <c r="L99" s="1370">
        <f>L98*1000000/D40</f>
        <v>418.60222689967583</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12.817598545177185</v>
      </c>
      <c r="I100" s="139"/>
      <c r="J100" s="1315" t="s">
        <v>735</v>
      </c>
      <c r="K100" s="1301" t="s">
        <v>250</v>
      </c>
      <c r="L100" s="1371">
        <f>L99*($D$7*30/$D$6)</f>
        <v>14.277390899946912</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819" t="s">
        <v>877</v>
      </c>
      <c r="C2" s="2819"/>
      <c r="D2" s="2819"/>
      <c r="E2" s="2819"/>
      <c r="F2" s="2819"/>
      <c r="G2" s="2819"/>
      <c r="H2" s="2819"/>
      <c r="I2" s="2819"/>
      <c r="J2" s="2819"/>
      <c r="K2" s="2819"/>
      <c r="L2" s="2819"/>
      <c r="M2" s="2819"/>
      <c r="N2" s="408"/>
      <c r="O2" s="2818" t="s">
        <v>595</v>
      </c>
      <c r="P2" s="2818"/>
      <c r="Q2" s="2818"/>
      <c r="R2" s="2818"/>
      <c r="S2" s="2818"/>
      <c r="T2" s="2818"/>
      <c r="U2" s="2818"/>
      <c r="V2" s="2818"/>
      <c r="W2" s="2818"/>
      <c r="X2" s="2818"/>
      <c r="Y2" s="2818"/>
      <c r="Z2" s="2818"/>
      <c r="AA2" s="2818"/>
      <c r="AB2" s="423"/>
    </row>
    <row r="3" spans="1:28" s="731" customFormat="1" ht="17.649999999999999" customHeight="1" x14ac:dyDescent="0.25">
      <c r="A3" s="729"/>
      <c r="B3" s="2819"/>
      <c r="C3" s="2819"/>
      <c r="D3" s="2819"/>
      <c r="E3" s="2819"/>
      <c r="F3" s="2819"/>
      <c r="G3" s="2819"/>
      <c r="H3" s="2819"/>
      <c r="I3" s="2819"/>
      <c r="J3" s="2819"/>
      <c r="K3" s="2819"/>
      <c r="L3" s="2819"/>
      <c r="M3" s="2819"/>
      <c r="N3" s="730"/>
      <c r="O3" s="2818"/>
      <c r="P3" s="2818"/>
      <c r="Q3" s="2818"/>
      <c r="R3" s="2818"/>
      <c r="S3" s="2818"/>
      <c r="T3" s="2818"/>
      <c r="U3" s="2818"/>
      <c r="V3" s="2818"/>
      <c r="W3" s="2818"/>
      <c r="X3" s="2818"/>
      <c r="Y3" s="2818"/>
      <c r="Z3" s="2818"/>
      <c r="AA3" s="2818"/>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872" t="s">
        <v>302</v>
      </c>
      <c r="K5" s="2870" t="s">
        <v>303</v>
      </c>
      <c r="L5" s="408"/>
      <c r="M5" s="409"/>
      <c r="N5" s="408"/>
      <c r="O5" s="2826" t="s">
        <v>785</v>
      </c>
      <c r="P5" s="408"/>
      <c r="Q5" s="2826" t="s">
        <v>786</v>
      </c>
      <c r="R5" s="408"/>
      <c r="S5" s="2826" t="s">
        <v>787</v>
      </c>
      <c r="T5" s="408"/>
      <c r="U5" s="2826" t="s">
        <v>788</v>
      </c>
      <c r="V5" s="408"/>
      <c r="W5" s="2826" t="s">
        <v>789</v>
      </c>
      <c r="X5" s="408"/>
      <c r="Y5" s="2826" t="s">
        <v>795</v>
      </c>
      <c r="Z5" s="408"/>
      <c r="AA5" s="408"/>
      <c r="AB5" s="423"/>
    </row>
    <row r="6" spans="1:28" s="237" customFormat="1" ht="19.899999999999999" hidden="1" customHeight="1" outlineLevel="1" x14ac:dyDescent="0.25">
      <c r="A6" s="408"/>
      <c r="B6" s="1466" t="s">
        <v>596</v>
      </c>
      <c r="C6" s="1427" t="s">
        <v>243</v>
      </c>
      <c r="D6" s="1442">
        <f>D7*D8/1000000</f>
        <v>104.00085127599783</v>
      </c>
      <c r="E6" s="413"/>
      <c r="F6" s="1462" t="s">
        <v>879</v>
      </c>
      <c r="G6" s="1414">
        <f>J7*(1-K7)</f>
        <v>109759.20000000001</v>
      </c>
      <c r="H6" s="1456">
        <f>G6/$G$11</f>
        <v>0.66654521075030615</v>
      </c>
      <c r="I6" s="408"/>
      <c r="J6" s="2873"/>
      <c r="K6" s="2871"/>
      <c r="L6" s="408"/>
      <c r="M6" s="418"/>
      <c r="N6" s="410"/>
      <c r="O6" s="2827"/>
      <c r="P6" s="408"/>
      <c r="Q6" s="2827"/>
      <c r="R6" s="408"/>
      <c r="S6" s="2827"/>
      <c r="T6" s="408"/>
      <c r="U6" s="2827"/>
      <c r="V6" s="408"/>
      <c r="W6" s="2827"/>
      <c r="X6" s="408"/>
      <c r="Y6" s="2827"/>
      <c r="Z6" s="408"/>
      <c r="AA6" s="408"/>
      <c r="AB6" s="423"/>
    </row>
    <row r="7" spans="1:28" s="237" customFormat="1" ht="19.899999999999999" hidden="1" customHeight="1" outlineLevel="1" x14ac:dyDescent="0.25">
      <c r="A7" s="408"/>
      <c r="B7" s="1462" t="s">
        <v>597</v>
      </c>
      <c r="C7" s="1425" t="s">
        <v>293</v>
      </c>
      <c r="D7" s="1443">
        <f>'R&amp;C-Painel de Controle'!H33</f>
        <v>712.33459778080703</v>
      </c>
      <c r="E7" s="413"/>
      <c r="F7" s="1462" t="s">
        <v>880</v>
      </c>
      <c r="G7" s="1414">
        <f>J7*K7</f>
        <v>27439.800000000003</v>
      </c>
      <c r="H7" s="1456">
        <f>G7/$G$11</f>
        <v>0.16663630268757654</v>
      </c>
      <c r="I7" s="408"/>
      <c r="J7" s="2830">
        <f>'R&amp;C-Painel de Controle'!D6/3</f>
        <v>137199</v>
      </c>
      <c r="K7" s="2828">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831"/>
      <c r="K8" s="2829"/>
      <c r="L8" s="408"/>
      <c r="M8" s="418"/>
      <c r="N8" s="410"/>
      <c r="O8" s="1293">
        <f>(O12-O10)/O10</f>
        <v>1.2145591636766743E-6</v>
      </c>
      <c r="P8" s="410"/>
      <c r="Q8" s="1293">
        <f>(Q12-Q10)/Q10</f>
        <v>-5.8327040398668071E-3</v>
      </c>
      <c r="R8" s="410"/>
      <c r="S8" s="1293">
        <f>(S12-S10)/S10</f>
        <v>-5.832704039866644E-3</v>
      </c>
      <c r="T8" s="408"/>
      <c r="U8" s="1293">
        <f>(U12-U10)/U10</f>
        <v>2.2914268472023346E-2</v>
      </c>
      <c r="V8" s="408"/>
      <c r="W8" s="1293">
        <f>(W12-W10)/W10</f>
        <v>2.2914268472023346E-2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113.05022534765057</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4.5282510295176506</v>
      </c>
      <c r="E12" s="408"/>
      <c r="F12" s="408"/>
      <c r="G12" s="408"/>
      <c r="H12" s="409"/>
      <c r="I12" s="408"/>
      <c r="J12" s="409"/>
      <c r="K12" s="409"/>
      <c r="L12" s="409"/>
      <c r="M12" s="409"/>
      <c r="N12" s="408"/>
      <c r="O12" s="240">
        <f>O33</f>
        <v>164669</v>
      </c>
      <c r="P12" s="410"/>
      <c r="Q12" s="251">
        <f>Q33</f>
        <v>112.39083684155747</v>
      </c>
      <c r="R12" s="410"/>
      <c r="S12" s="240">
        <f>S33*(1+$D$17+$D$18+$D$19)</f>
        <v>145148.42521017947</v>
      </c>
      <c r="T12" s="408"/>
      <c r="U12" s="240">
        <f>U33</f>
        <v>23493387.184143592</v>
      </c>
      <c r="V12" s="408"/>
      <c r="W12" s="240">
        <f>W33</f>
        <v>23493387.184143592</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820" t="s">
        <v>884</v>
      </c>
      <c r="G15" s="2822" t="s">
        <v>194</v>
      </c>
      <c r="H15" s="2824">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821"/>
      <c r="G16" s="2823"/>
      <c r="H16" s="2825"/>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113.05022534765057</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4.9222654722235548</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861" t="s">
        <v>847</v>
      </c>
      <c r="G23" s="2862"/>
      <c r="H23" s="2863"/>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686.53093571854879</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113.05022534765057</v>
      </c>
      <c r="E25" s="408"/>
      <c r="F25" s="1465" t="s">
        <v>886</v>
      </c>
      <c r="G25" s="1447" t="s">
        <v>310</v>
      </c>
      <c r="H25" s="1461">
        <f>H24/12</f>
        <v>57.210911309879066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4.9222654722235548</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852" t="s">
        <v>870</v>
      </c>
      <c r="C29" s="2853"/>
      <c r="D29" s="2853"/>
      <c r="E29" s="2854"/>
      <c r="F29" s="408"/>
      <c r="G29" s="408"/>
      <c r="H29" s="409"/>
      <c r="I29" s="408"/>
      <c r="J29" s="409"/>
      <c r="K29" s="2834" t="s">
        <v>311</v>
      </c>
      <c r="L29" s="2835"/>
      <c r="M29" s="2836"/>
      <c r="N29" s="408"/>
      <c r="O29" s="2857" t="s">
        <v>708</v>
      </c>
      <c r="P29" s="2858"/>
      <c r="Q29" s="2858"/>
      <c r="R29" s="2858"/>
      <c r="S29" s="2858"/>
      <c r="T29" s="2858"/>
      <c r="U29" s="2858"/>
      <c r="V29" s="2858"/>
      <c r="W29" s="2858"/>
      <c r="X29" s="2858"/>
      <c r="Y29" s="2858"/>
      <c r="Z29" s="2858"/>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874" t="s">
        <v>871</v>
      </c>
      <c r="C31" s="2875"/>
      <c r="D31" s="2875"/>
      <c r="E31" s="2875"/>
      <c r="F31" s="2875"/>
      <c r="G31" s="2875"/>
      <c r="H31" s="2875"/>
      <c r="I31" s="2875"/>
      <c r="J31" s="2875"/>
      <c r="K31" s="2875"/>
      <c r="L31" s="1415" t="s">
        <v>312</v>
      </c>
      <c r="M31" s="1415" t="s">
        <v>313</v>
      </c>
      <c r="N31" s="408"/>
      <c r="O31" s="2832" t="s">
        <v>601</v>
      </c>
      <c r="P31" s="408"/>
      <c r="Q31" s="2832" t="s">
        <v>314</v>
      </c>
      <c r="R31" s="408"/>
      <c r="S31" s="2832" t="s">
        <v>602</v>
      </c>
      <c r="T31" s="408"/>
      <c r="U31" s="2832" t="s">
        <v>603</v>
      </c>
      <c r="V31" s="408"/>
      <c r="W31" s="2832" t="s">
        <v>603</v>
      </c>
      <c r="X31" s="408"/>
      <c r="Y31" s="2832" t="s">
        <v>414</v>
      </c>
      <c r="Z31" s="408"/>
      <c r="AA31" s="408"/>
      <c r="AB31" s="423"/>
    </row>
    <row r="32" spans="1:28" s="237" customFormat="1" ht="19.899999999999999" customHeight="1" x14ac:dyDescent="0.25">
      <c r="A32" s="408"/>
      <c r="B32" s="2876"/>
      <c r="C32" s="2875"/>
      <c r="D32" s="2875"/>
      <c r="E32" s="2875"/>
      <c r="F32" s="2875"/>
      <c r="G32" s="2875"/>
      <c r="H32" s="2875"/>
      <c r="I32" s="2875"/>
      <c r="J32" s="2875"/>
      <c r="K32" s="2875"/>
      <c r="L32" s="1416">
        <f>H24</f>
        <v>686.53093571854879</v>
      </c>
      <c r="M32" s="1417">
        <f>H25</f>
        <v>57.210911309879066</v>
      </c>
      <c r="N32" s="411"/>
      <c r="O32" s="2724"/>
      <c r="P32" s="411"/>
      <c r="Q32" s="2724"/>
      <c r="R32" s="411"/>
      <c r="S32" s="2724"/>
      <c r="T32" s="408"/>
      <c r="U32" s="2724"/>
      <c r="V32" s="408"/>
      <c r="W32" s="2724"/>
      <c r="X32" s="408"/>
      <c r="Y32" s="2833"/>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112.39083684155747</v>
      </c>
      <c r="R33" s="408"/>
      <c r="S33" s="240">
        <f>12*S34</f>
        <v>133777.35042412856</v>
      </c>
      <c r="T33" s="408" t="s">
        <v>315</v>
      </c>
      <c r="U33" s="240">
        <f>12*U34</f>
        <v>23493387.184143592</v>
      </c>
      <c r="V33" s="408" t="s">
        <v>316</v>
      </c>
      <c r="W33" s="240">
        <f>12*W34</f>
        <v>23493387.184143592</v>
      </c>
      <c r="X33" s="408" t="s">
        <v>316</v>
      </c>
      <c r="Y33" s="2859">
        <v>0.1</v>
      </c>
      <c r="Z33" s="408"/>
      <c r="AA33" s="408"/>
      <c r="AB33" s="423"/>
    </row>
    <row r="34" spans="1:28" s="237" customFormat="1" ht="34.9" hidden="1" customHeight="1" outlineLevel="1" x14ac:dyDescent="0.25">
      <c r="A34" s="408"/>
      <c r="B34" s="2855" t="s">
        <v>317</v>
      </c>
      <c r="C34" s="2856"/>
      <c r="D34" s="2856"/>
      <c r="E34" s="2856"/>
      <c r="F34" s="2856"/>
      <c r="G34" s="2856"/>
      <c r="H34" s="2856"/>
      <c r="I34" s="2856"/>
      <c r="J34" s="2856"/>
      <c r="K34" s="2856"/>
      <c r="L34" s="2856"/>
      <c r="M34" s="2856"/>
      <c r="N34" s="411"/>
      <c r="O34" s="711"/>
      <c r="P34" s="411"/>
      <c r="Q34" s="711"/>
      <c r="R34" s="411"/>
      <c r="S34" s="240">
        <f>S36+S49+S62+S75+S88</f>
        <v>11148.112535344046</v>
      </c>
      <c r="T34" s="408" t="s">
        <v>318</v>
      </c>
      <c r="U34" s="240">
        <f>U36+U49+U62+U75+U88</f>
        <v>1957782.2653452994</v>
      </c>
      <c r="V34" s="408" t="s">
        <v>319</v>
      </c>
      <c r="W34" s="240">
        <f>W36+W49+W62+W75+W88</f>
        <v>1957782.2653452994</v>
      </c>
      <c r="X34" s="408" t="s">
        <v>319</v>
      </c>
      <c r="Y34" s="2860"/>
      <c r="Z34" s="408"/>
      <c r="AA34" s="408"/>
      <c r="AB34" s="423"/>
    </row>
    <row r="35" spans="1:28" s="237" customFormat="1" ht="25.15" hidden="1" customHeight="1" outlineLevel="1" x14ac:dyDescent="0.25">
      <c r="A35" s="408"/>
      <c r="B35" s="2842" t="s">
        <v>320</v>
      </c>
      <c r="C35" s="2848"/>
      <c r="D35" s="2848"/>
      <c r="E35" s="2849"/>
      <c r="F35" s="2848"/>
      <c r="G35" s="2848"/>
      <c r="H35" s="2848"/>
      <c r="I35" s="2849"/>
      <c r="J35" s="2848"/>
      <c r="K35" s="2848"/>
      <c r="L35" s="2848"/>
      <c r="M35" s="2848"/>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842" t="s">
        <v>321</v>
      </c>
      <c r="C36" s="2842" t="s">
        <v>322</v>
      </c>
      <c r="D36" s="2844"/>
      <c r="E36" s="1308"/>
      <c r="F36" s="2864" t="s">
        <v>323</v>
      </c>
      <c r="G36" s="2848"/>
      <c r="H36" s="2865"/>
      <c r="I36" s="709"/>
      <c r="J36" s="2845" t="s">
        <v>876</v>
      </c>
      <c r="K36" s="2846"/>
      <c r="L36" s="2846"/>
      <c r="M36" s="2846"/>
      <c r="N36" s="408"/>
      <c r="O36" s="240">
        <f>O39+O41+O42+O43+O44+O45</f>
        <v>25</v>
      </c>
      <c r="P36" s="417"/>
      <c r="Q36" s="717">
        <f>Q39+Q41+Q42+Q43+Q44+Q45</f>
        <v>1335.5172108899894</v>
      </c>
      <c r="R36" s="408"/>
      <c r="S36" s="2847">
        <f>IF(AND(Q36&lt;&gt;0,O36&lt;&gt;0),Q36/(1+$D$17+$D$18+$D$19)/(($D$25*1000000/$D$8)),0)</f>
        <v>1.5896487555346956</v>
      </c>
      <c r="T36" s="2850" t="s">
        <v>324</v>
      </c>
      <c r="U36" s="2847">
        <f>U39+U41+U42+U43+U44+U45</f>
        <v>250.06604084120022</v>
      </c>
      <c r="V36" s="417" t="s">
        <v>325</v>
      </c>
      <c r="W36" s="2847">
        <f>W39*O39+W41*O41+W42*O42+W43*O43+W44*O44+W45*O45</f>
        <v>250.06604084120022</v>
      </c>
      <c r="X36" s="417" t="s">
        <v>325</v>
      </c>
      <c r="Y36" s="694" t="s">
        <v>326</v>
      </c>
      <c r="Z36" s="408"/>
      <c r="AA36" s="408"/>
      <c r="AB36" s="423"/>
    </row>
    <row r="37" spans="1:28" s="237" customFormat="1" ht="24" hidden="1" customHeight="1" outlineLevel="1" x14ac:dyDescent="0.25">
      <c r="A37" s="408"/>
      <c r="B37" s="2843"/>
      <c r="C37" s="1418" t="s">
        <v>327</v>
      </c>
      <c r="D37" s="1419" t="s">
        <v>328</v>
      </c>
      <c r="E37" s="1309"/>
      <c r="F37" s="2866"/>
      <c r="G37" s="2848"/>
      <c r="H37" s="2865"/>
      <c r="I37" s="710"/>
      <c r="J37" s="2867" t="s">
        <v>329</v>
      </c>
      <c r="K37" s="2868"/>
      <c r="L37" s="2869" t="s">
        <v>330</v>
      </c>
      <c r="M37" s="2868"/>
      <c r="N37" s="408"/>
      <c r="O37" s="714" t="s">
        <v>331</v>
      </c>
      <c r="P37" s="417"/>
      <c r="Q37" s="718">
        <v>0.5</v>
      </c>
      <c r="R37" s="408"/>
      <c r="S37" s="2788"/>
      <c r="T37" s="2851"/>
      <c r="U37" s="2788"/>
      <c r="V37" s="417"/>
      <c r="W37" s="2787"/>
      <c r="X37" s="417"/>
      <c r="Y37" s="721">
        <f>$Y$33</f>
        <v>0.1</v>
      </c>
      <c r="Z37" s="408"/>
      <c r="AA37" s="408"/>
      <c r="AB37" s="423"/>
    </row>
    <row r="38" spans="1:28" s="237" customFormat="1" ht="24" hidden="1" customHeight="1" outlineLevel="1" x14ac:dyDescent="0.25">
      <c r="A38" s="408"/>
      <c r="B38" s="2837">
        <v>1</v>
      </c>
      <c r="C38" s="2837">
        <v>1</v>
      </c>
      <c r="D38" s="2840">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838"/>
      <c r="C39" s="2839"/>
      <c r="D39" s="2841"/>
      <c r="E39" s="710"/>
      <c r="F39" s="1473" t="s">
        <v>289</v>
      </c>
      <c r="G39" s="1474">
        <v>5</v>
      </c>
      <c r="H39" s="1475">
        <v>0.35</v>
      </c>
      <c r="I39" s="1309"/>
      <c r="J39" s="1476">
        <f>$L$32*H39*$B$38*$C$38</f>
        <v>240.28582750149207</v>
      </c>
      <c r="K39" s="1477">
        <f>$M$32*H39*$B$38*$C$38</f>
        <v>20.023818958457671</v>
      </c>
      <c r="L39" s="1476">
        <f>J39*$D$38</f>
        <v>300.3572843768651</v>
      </c>
      <c r="M39" s="1477">
        <f>K39*$D$38</f>
        <v>25.029773698072088</v>
      </c>
      <c r="N39" s="408"/>
      <c r="O39" s="715">
        <v>5</v>
      </c>
      <c r="P39" s="417"/>
      <c r="Q39" s="261">
        <f>O39*$Q$37*M39+O39*(1-$Q$37)*K39</f>
        <v>112.6339816413244</v>
      </c>
      <c r="R39" s="408"/>
      <c r="S39" s="719">
        <f>IF(AND(Q39&lt;&gt;0,O39&lt;&gt;0),Q39/(1+$D$17+$D$18+$D$19)/O39/30/(($D$25*1000000/$D$8))*1000,0)</f>
        <v>0.8937784167664955</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838"/>
      <c r="C40" s="2839"/>
      <c r="D40" s="2841"/>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838"/>
      <c r="C41" s="2839"/>
      <c r="D41" s="2841"/>
      <c r="E41" s="710"/>
      <c r="F41" s="1473">
        <f>G39</f>
        <v>5</v>
      </c>
      <c r="G41" s="1474">
        <v>15</v>
      </c>
      <c r="H41" s="1475">
        <v>0.06</v>
      </c>
      <c r="I41" s="1309"/>
      <c r="J41" s="1476">
        <f>$L$32*(H39+(G41-F41)*H41)*$B$38*$C$38</f>
        <v>652.20438893262133</v>
      </c>
      <c r="K41" s="1477">
        <f>$M$32*(H39+(G41-F41)*H41)*$B$38*$C$38</f>
        <v>54.350365744385108</v>
      </c>
      <c r="L41" s="1476">
        <f t="shared" ref="L41:M45" si="0">J41*$D$38</f>
        <v>815.25548616577669</v>
      </c>
      <c r="M41" s="1477">
        <f t="shared" si="0"/>
        <v>67.937957180481391</v>
      </c>
      <c r="N41" s="408"/>
      <c r="O41" s="715">
        <v>20</v>
      </c>
      <c r="P41" s="417"/>
      <c r="Q41" s="261">
        <f>O41*$Q$37*M41+O41*(1-$Q$37)*K41</f>
        <v>1222.883229248665</v>
      </c>
      <c r="R41" s="408"/>
      <c r="S41" s="719">
        <f>IF(AND(Q41&lt;&gt;0,O41&lt;&gt;0),Q41/(1+$D$17+$D$18+$D$19)/O41/30/(($D$25*1000000/$D$8))*1000,0)</f>
        <v>2.4259699883662025</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838"/>
      <c r="C42" s="2839"/>
      <c r="D42" s="2841"/>
      <c r="E42" s="710"/>
      <c r="F42" s="1473">
        <f>G41</f>
        <v>15</v>
      </c>
      <c r="G42" s="1474">
        <v>25</v>
      </c>
      <c r="H42" s="1475">
        <v>0.05</v>
      </c>
      <c r="I42" s="1309"/>
      <c r="J42" s="1476">
        <f>$L$32*(H39+(G41-F41)*H41+(G42-F42)*H42)*$B$38*$C$38</f>
        <v>995.46985679189572</v>
      </c>
      <c r="K42" s="1477">
        <f>$M$32*(H39+(G41-F41)*H41+(G42-F42)*H42)*$B$38*$C$38</f>
        <v>82.955821399324648</v>
      </c>
      <c r="L42" s="1476">
        <f t="shared" si="0"/>
        <v>1244.3373209898696</v>
      </c>
      <c r="M42" s="1477">
        <f t="shared" si="0"/>
        <v>103.69477674915581</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838"/>
      <c r="C43" s="2839"/>
      <c r="D43" s="2841"/>
      <c r="E43" s="710"/>
      <c r="F43" s="1473">
        <f>G42</f>
        <v>25</v>
      </c>
      <c r="G43" s="1474">
        <v>35</v>
      </c>
      <c r="H43" s="1475">
        <v>3.5000000000000003E-2</v>
      </c>
      <c r="I43" s="1309"/>
      <c r="J43" s="1476">
        <f>$L$32*(H39+(G41-F41)*H41+(G42-F42)*H42+(G43-F43)*H43)*$B$38*$C$38</f>
        <v>1235.755684293388</v>
      </c>
      <c r="K43" s="1477">
        <f>$M$32*(H39+(G41-F41)*H41+(G42-F42)*H42+(G43-F43)*H43)*$B$38*$C$38</f>
        <v>102.97964035778232</v>
      </c>
      <c r="L43" s="1476">
        <f t="shared" si="0"/>
        <v>1544.694605366735</v>
      </c>
      <c r="M43" s="1477">
        <f t="shared" si="0"/>
        <v>128.7245504472279</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838"/>
      <c r="C44" s="2839"/>
      <c r="D44" s="2841"/>
      <c r="E44" s="710"/>
      <c r="F44" s="1473">
        <f>G43</f>
        <v>35</v>
      </c>
      <c r="G44" s="1474">
        <v>50</v>
      </c>
      <c r="H44" s="1475">
        <f>0.03</f>
        <v>0.03</v>
      </c>
      <c r="I44" s="1309"/>
      <c r="J44" s="1476">
        <f>$L$32*(H39+(G41-F41)*H41+(G42-F42)*H42+(G43-F43)*H43+(G44-F44)*H44)*$B$38*$C$38</f>
        <v>1544.6946053667348</v>
      </c>
      <c r="K44" s="1477">
        <f>$M$32*(H39+(G41-F41)*H41+(G42-F42)*H42+(G43-F43)*H43+(G44-F44)*H44)*$B$38*$C$38</f>
        <v>128.7245504472279</v>
      </c>
      <c r="L44" s="1476">
        <f t="shared" si="0"/>
        <v>1930.8682567084184</v>
      </c>
      <c r="M44" s="1477">
        <f t="shared" si="0"/>
        <v>160.90568805903487</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838"/>
      <c r="C45" s="2839"/>
      <c r="D45" s="2841"/>
      <c r="E45" s="710"/>
      <c r="F45" s="1473">
        <f>G44</f>
        <v>50</v>
      </c>
      <c r="G45" s="1474">
        <v>100</v>
      </c>
      <c r="H45" s="1475">
        <v>2.5000000000000001E-2</v>
      </c>
      <c r="I45" s="1309"/>
      <c r="J45" s="1476">
        <f>$L$32*(H39+(G41-F41)*H41+(G42-F42)*H42+(G43-F43)*H43+(G44-F44)*H44+(G45-F45)*H45)*$B$38*$C$38</f>
        <v>2402.8582750149208</v>
      </c>
      <c r="K45" s="1477">
        <f>$M$32*(H39+(G41-F41)*H41+(G42-F42)*H42+(G43-F43)*H43+(G44-F44)*H44+(G45-F45)*H45)*$B$38*$C$38</f>
        <v>200.23818958457673</v>
      </c>
      <c r="L45" s="1476">
        <f t="shared" si="0"/>
        <v>3003.5728437686512</v>
      </c>
      <c r="M45" s="1477">
        <f t="shared" si="0"/>
        <v>250.29773698072091</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855" t="s">
        <v>336</v>
      </c>
      <c r="C47" s="2856"/>
      <c r="D47" s="2856"/>
      <c r="E47" s="2856"/>
      <c r="F47" s="2856"/>
      <c r="G47" s="2856"/>
      <c r="H47" s="2856"/>
      <c r="I47" s="2856"/>
      <c r="J47" s="2856"/>
      <c r="K47" s="2856"/>
      <c r="L47" s="2856"/>
      <c r="M47" s="2856"/>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842" t="s">
        <v>320</v>
      </c>
      <c r="C48" s="2848"/>
      <c r="D48" s="2848"/>
      <c r="E48" s="2849"/>
      <c r="F48" s="2848"/>
      <c r="G48" s="2848"/>
      <c r="H48" s="2848"/>
      <c r="I48" s="2849"/>
      <c r="J48" s="2848"/>
      <c r="K48" s="2848"/>
      <c r="L48" s="2848"/>
      <c r="M48" s="2848"/>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842" t="s">
        <v>321</v>
      </c>
      <c r="C49" s="2842" t="s">
        <v>322</v>
      </c>
      <c r="D49" s="2844"/>
      <c r="E49" s="1308"/>
      <c r="F49" s="2864" t="s">
        <v>323</v>
      </c>
      <c r="G49" s="2848"/>
      <c r="H49" s="2865"/>
      <c r="I49" s="709"/>
      <c r="J49" s="2845" t="s">
        <v>876</v>
      </c>
      <c r="K49" s="2846"/>
      <c r="L49" s="2846"/>
      <c r="M49" s="2846"/>
      <c r="N49" s="408"/>
      <c r="O49" s="240">
        <f>O52+O54+O55+O56+O57+O58</f>
        <v>109759</v>
      </c>
      <c r="P49" s="417"/>
      <c r="Q49" s="723">
        <f>Q52+Q54+Q55+Q56+Q57+Q58</f>
        <v>5149086.6065863548</v>
      </c>
      <c r="R49" s="408"/>
      <c r="S49" s="2884">
        <f>IF(AND(Q49&lt;&gt;0,O49&lt;&gt;0),Q49/(1+$D$17+$D$18+$D$19)/(($D$25*1000000/$D$8)),0)</f>
        <v>6128.8907769640209</v>
      </c>
      <c r="T49" s="2850" t="s">
        <v>324</v>
      </c>
      <c r="U49" s="2847">
        <f>U52+U54+U55+U56+U57+U58</f>
        <v>964129.62046324776</v>
      </c>
      <c r="V49" s="417" t="s">
        <v>325</v>
      </c>
      <c r="W49" s="2882">
        <f>W52*O52+W54*O54+W55*O55+W56*O56+W57*O57+W58*O58</f>
        <v>964129.62046324776</v>
      </c>
      <c r="X49" s="417" t="s">
        <v>325</v>
      </c>
      <c r="Y49" s="694" t="s">
        <v>326</v>
      </c>
      <c r="Z49" s="408"/>
      <c r="AA49" s="408"/>
      <c r="AB49" s="423"/>
    </row>
    <row r="50" spans="1:28" s="237" customFormat="1" ht="24" hidden="1" customHeight="1" outlineLevel="1" x14ac:dyDescent="0.25">
      <c r="A50" s="408"/>
      <c r="B50" s="2843"/>
      <c r="C50" s="1418" t="s">
        <v>327</v>
      </c>
      <c r="D50" s="1419" t="s">
        <v>328</v>
      </c>
      <c r="E50" s="1309"/>
      <c r="F50" s="2866"/>
      <c r="G50" s="2848"/>
      <c r="H50" s="2865"/>
      <c r="I50" s="710"/>
      <c r="J50" s="2867" t="s">
        <v>329</v>
      </c>
      <c r="K50" s="2868"/>
      <c r="L50" s="2869" t="s">
        <v>330</v>
      </c>
      <c r="M50" s="2868"/>
      <c r="N50" s="408"/>
      <c r="O50" s="722" t="s">
        <v>331</v>
      </c>
      <c r="P50" s="417"/>
      <c r="Q50" s="718">
        <v>0.5</v>
      </c>
      <c r="R50" s="408"/>
      <c r="S50" s="2788"/>
      <c r="T50" s="2851"/>
      <c r="U50" s="2788"/>
      <c r="V50" s="417"/>
      <c r="W50" s="2883"/>
      <c r="X50" s="417"/>
      <c r="Y50" s="721">
        <f>$Y$33</f>
        <v>0.1</v>
      </c>
      <c r="Z50" s="408"/>
      <c r="AA50" s="408"/>
      <c r="AB50" s="423"/>
    </row>
    <row r="51" spans="1:28" s="237" customFormat="1" ht="24" hidden="1" customHeight="1" outlineLevel="1" x14ac:dyDescent="0.25">
      <c r="A51" s="408"/>
      <c r="B51" s="2837">
        <v>1</v>
      </c>
      <c r="C51" s="2837">
        <v>1</v>
      </c>
      <c r="D51" s="2840">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838"/>
      <c r="C52" s="2839"/>
      <c r="D52" s="2841"/>
      <c r="E52" s="710"/>
      <c r="F52" s="1473" t="s">
        <v>289</v>
      </c>
      <c r="G52" s="1474">
        <v>5</v>
      </c>
      <c r="H52" s="1475">
        <f>0.35-0.05</f>
        <v>0.3</v>
      </c>
      <c r="I52" s="1309"/>
      <c r="J52" s="1476">
        <f>$L$32*H52*$B$51*$C$51</f>
        <v>205.95928071556463</v>
      </c>
      <c r="K52" s="1477">
        <f>$M$32*H52*$B$51*$C$51</f>
        <v>17.16327339296372</v>
      </c>
      <c r="L52" s="1476">
        <f>J52*$D$51</f>
        <v>257.4491008944558</v>
      </c>
      <c r="M52" s="1477">
        <f>K52*$D$51</f>
        <v>21.45409174120465</v>
      </c>
      <c r="N52" s="408"/>
      <c r="O52" s="715">
        <v>76400</v>
      </c>
      <c r="P52" s="417"/>
      <c r="Q52" s="261">
        <f>O52*$Q$50*M52+O52*(1-$Q$50)*K52</f>
        <v>1475183.3481252319</v>
      </c>
      <c r="R52" s="408"/>
      <c r="S52" s="719">
        <f>IF(AND(Q52&lt;&gt;0,O52&lt;&gt;0),Q52/(1+$D$17+$D$18+$D$19)/O52/30/(($D$25*1000000/$D$8))*1000,0)</f>
        <v>0.76609578579985349</v>
      </c>
      <c r="T52" s="417" t="s">
        <v>333</v>
      </c>
      <c r="U52" s="699">
        <f>S52*O52*30*$D$11*(1+$D$24)/1000</f>
        <v>276217.52559423185</v>
      </c>
      <c r="V52" s="417" t="s">
        <v>334</v>
      </c>
      <c r="W52" s="699">
        <f>IF(O52&lt;&gt;0,U52/O52,0)</f>
        <v>3.6154126386679559</v>
      </c>
      <c r="X52" s="417" t="s">
        <v>335</v>
      </c>
      <c r="Y52" s="262" t="str">
        <f>IF(O52=0,"-", IF(W52&lt;=(G52*(1+$Y$50)),"OK", "NOK"))</f>
        <v>OK</v>
      </c>
      <c r="Z52" s="139"/>
      <c r="AA52" s="227">
        <f>IF(OR(Y52="OK",Y52="-"),1,0)</f>
        <v>1</v>
      </c>
      <c r="AB52" s="423"/>
    </row>
    <row r="53" spans="1:28" s="237" customFormat="1" ht="24" hidden="1" customHeight="1" outlineLevel="1" x14ac:dyDescent="0.25">
      <c r="A53" s="408"/>
      <c r="B53" s="2838"/>
      <c r="C53" s="2839"/>
      <c r="D53" s="2841"/>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838"/>
      <c r="C54" s="2839"/>
      <c r="D54" s="2841"/>
      <c r="E54" s="710"/>
      <c r="F54" s="1473">
        <f>G52</f>
        <v>5</v>
      </c>
      <c r="G54" s="1474">
        <v>15</v>
      </c>
      <c r="H54" s="1475">
        <f>0.08</f>
        <v>0.08</v>
      </c>
      <c r="I54" s="1309"/>
      <c r="J54" s="1476">
        <f>$L$32*(H52+(G54-F54)*H54)*$B$51*$C$51</f>
        <v>755.18402929040371</v>
      </c>
      <c r="K54" s="1477">
        <f>$M$32*(H52+(G54-F54)*H54)*$B$51*$C$51</f>
        <v>62.932002440866981</v>
      </c>
      <c r="L54" s="1476">
        <f t="shared" ref="L54:M58" si="1">J54*$D$51</f>
        <v>943.98003661300459</v>
      </c>
      <c r="M54" s="1477">
        <f t="shared" si="1"/>
        <v>78.66500305108373</v>
      </c>
      <c r="N54" s="408"/>
      <c r="O54" s="715">
        <v>16500</v>
      </c>
      <c r="P54" s="417"/>
      <c r="Q54" s="261">
        <f>O54*$Q$50*M54+O54*(1-$Q$50)*K54</f>
        <v>1168175.2953085934</v>
      </c>
      <c r="R54" s="408"/>
      <c r="S54" s="719">
        <f>IF(AND(Q54&lt;&gt;0,O54&lt;&gt;0),Q54/(1+$D$17+$D$18+$D$19)/O54/30/(($D$25*1000000/$D$8))*1000,0)</f>
        <v>2.8090178812661306</v>
      </c>
      <c r="T54" s="417" t="s">
        <v>333</v>
      </c>
      <c r="U54" s="699">
        <f>S54*O54*30*$D$11*(1+$D$24)/1000</f>
        <v>218732.46463941142</v>
      </c>
      <c r="V54" s="417" t="s">
        <v>334</v>
      </c>
      <c r="W54" s="726">
        <f>IF(O54&lt;&gt;0,U54/O54,0)</f>
        <v>13.256513008449177</v>
      </c>
      <c r="X54" s="417" t="s">
        <v>335</v>
      </c>
      <c r="Y54" s="262" t="str">
        <f>IF(O54=0,"-",IF(AND(((F54*(1-$Y$50))&lt;W54),(W54&lt;(G54*(1+$Y$50)))),"OK", "NOK"))</f>
        <v>OK</v>
      </c>
      <c r="Z54" s="139"/>
      <c r="AA54" s="227">
        <f>IF(OR(Y54="OK",Y54="-"),1,0)</f>
        <v>1</v>
      </c>
      <c r="AB54" s="423"/>
    </row>
    <row r="55" spans="1:28" s="237" customFormat="1" ht="24" hidden="1" customHeight="1" outlineLevel="1" x14ac:dyDescent="0.25">
      <c r="A55" s="408"/>
      <c r="B55" s="2838"/>
      <c r="C55" s="2839"/>
      <c r="D55" s="2841"/>
      <c r="E55" s="710"/>
      <c r="F55" s="1473">
        <f>G54</f>
        <v>15</v>
      </c>
      <c r="G55" s="1474">
        <v>25</v>
      </c>
      <c r="H55" s="1475">
        <f>0.0725</f>
        <v>7.2499999999999995E-2</v>
      </c>
      <c r="I55" s="1309"/>
      <c r="J55" s="1476">
        <f>$L$32*(H52+(G54-F54)*H54+(G55-F55)*H55)*$B$51*$C$51</f>
        <v>1252.9189576863516</v>
      </c>
      <c r="K55" s="1477">
        <f>$M$32*(H52+(G54-F54)*H54+(G55-F55)*H55)*$B$51*$C$51</f>
        <v>104.40991314052931</v>
      </c>
      <c r="L55" s="1476">
        <f t="shared" si="1"/>
        <v>1566.1486971079396</v>
      </c>
      <c r="M55" s="1477">
        <f t="shared" si="1"/>
        <v>130.51239142566163</v>
      </c>
      <c r="N55" s="408"/>
      <c r="O55" s="715">
        <v>10000</v>
      </c>
      <c r="P55" s="417"/>
      <c r="Q55" s="261">
        <f>O55*$Q$50*M55+O55*(1-$Q$50)*K55</f>
        <v>1174611.5228309548</v>
      </c>
      <c r="R55" s="408"/>
      <c r="S55" s="719">
        <f>IF(AND(Q55&lt;&gt;0,O55&lt;&gt;0),Q55/(1+$D$17+$D$18+$D$19)/O55/30/(($D$25*1000000/$D$8))*1000,0)</f>
        <v>4.660416030282442</v>
      </c>
      <c r="T55" s="417" t="s">
        <v>333</v>
      </c>
      <c r="U55" s="699">
        <f>S55*O55*30*$D$11*(1+$D$24)/1000</f>
        <v>219937.60218563399</v>
      </c>
      <c r="V55" s="417" t="s">
        <v>334</v>
      </c>
      <c r="W55" s="727">
        <f>IF(O55&lt;&gt;0,U55/O55,0)</f>
        <v>21.993760218563398</v>
      </c>
      <c r="X55" s="417" t="s">
        <v>335</v>
      </c>
      <c r="Y55" s="262" t="str">
        <f>IF(O55=0,"-",IF(AND(((F55*(1-$Y$50))&lt;W55),(W55&lt;(G55*(1+$Y$50)))),"OK", "NOK"))</f>
        <v>OK</v>
      </c>
      <c r="Z55" s="139"/>
      <c r="AA55" s="227">
        <f>IF(OR(Y55="OK",Y55="-"),1,0)</f>
        <v>1</v>
      </c>
      <c r="AB55" s="423"/>
    </row>
    <row r="56" spans="1:28" s="237" customFormat="1" ht="24" hidden="1" customHeight="1" outlineLevel="1" x14ac:dyDescent="0.25">
      <c r="A56" s="408"/>
      <c r="B56" s="2838"/>
      <c r="C56" s="2839"/>
      <c r="D56" s="2841"/>
      <c r="E56" s="710"/>
      <c r="F56" s="1473">
        <f>G55</f>
        <v>25</v>
      </c>
      <c r="G56" s="1474">
        <v>35</v>
      </c>
      <c r="H56" s="1475">
        <v>6.5000000000000002E-2</v>
      </c>
      <c r="I56" s="1309"/>
      <c r="J56" s="1476">
        <f>$L$32*(H52+(G54-F54)*H54+(G55-F55)*H55+(G56-F56)*H56)*$B$51*$C$51</f>
        <v>1699.1640659034083</v>
      </c>
      <c r="K56" s="1477">
        <f>$M$32*(H52+(G54-F54)*H54+(G55-F55)*H55+(G56-F56)*H56)*$B$51*$C$51</f>
        <v>141.59700549195068</v>
      </c>
      <c r="L56" s="1476">
        <f t="shared" si="1"/>
        <v>2123.9550823792606</v>
      </c>
      <c r="M56" s="1477">
        <f t="shared" si="1"/>
        <v>176.99625686493835</v>
      </c>
      <c r="N56" s="408"/>
      <c r="O56" s="715">
        <v>5500</v>
      </c>
      <c r="P56" s="417"/>
      <c r="Q56" s="261">
        <f>O56*$Q$50*M56+O56*(1-$Q$50)*K56</f>
        <v>876131.47148144478</v>
      </c>
      <c r="R56" s="408"/>
      <c r="S56" s="719">
        <f>IF(AND(Q56&lt;&gt;0,O56&lt;&gt;0),Q56/(1+$D$17+$D$18+$D$19)/O56/30/(($D$25*1000000/$D$8))*1000,0)</f>
        <v>6.3202902328487909</v>
      </c>
      <c r="T56" s="417" t="s">
        <v>333</v>
      </c>
      <c r="U56" s="699">
        <f>S56*O56*30*$D$11*(1+$D$24)/1000</f>
        <v>164049.34847955851</v>
      </c>
      <c r="V56" s="417" t="s">
        <v>334</v>
      </c>
      <c r="W56" s="727">
        <f>IF(O56&lt;&gt;0,U56/O56,0)</f>
        <v>29.827154269010638</v>
      </c>
      <c r="X56" s="417" t="s">
        <v>335</v>
      </c>
      <c r="Y56" s="262" t="str">
        <f>IF(O56=0,"-",IF(AND(((F56*(1-$Y$50))&lt;W56),(W56&lt;(G56*(1+$Y$50)))),"OK", "NOK"))</f>
        <v>OK</v>
      </c>
      <c r="Z56" s="139"/>
      <c r="AA56" s="227">
        <f>IF(OR(Y56="OK",Y56="-"),1,0)</f>
        <v>1</v>
      </c>
      <c r="AB56" s="423"/>
    </row>
    <row r="57" spans="1:28" s="237" customFormat="1" ht="24" hidden="1" customHeight="1" outlineLevel="1" x14ac:dyDescent="0.25">
      <c r="A57" s="408"/>
      <c r="B57" s="2838"/>
      <c r="C57" s="2839"/>
      <c r="D57" s="2841"/>
      <c r="E57" s="710"/>
      <c r="F57" s="1473">
        <f>G56</f>
        <v>35</v>
      </c>
      <c r="G57" s="1474">
        <v>50</v>
      </c>
      <c r="H57" s="1475">
        <f>0.06</f>
        <v>0.06</v>
      </c>
      <c r="I57" s="1309"/>
      <c r="J57" s="1476">
        <f>$L$32*(H52+(G54-F54)*H54+(G55-F55)*H55+(G56-F56)*H56+(G57-F57)*H57)*$B$51*$C$51</f>
        <v>2317.0419080501024</v>
      </c>
      <c r="K57" s="1477">
        <f>$M$32*(H52+(G54-F54)*H54+(G55-F55)*H55+(G56-F56)*H56+(G57-F57)*H57)*$B$51*$C$51</f>
        <v>193.08682567084185</v>
      </c>
      <c r="L57" s="1476">
        <f t="shared" si="1"/>
        <v>2896.3023850626278</v>
      </c>
      <c r="M57" s="1477">
        <f t="shared" si="1"/>
        <v>241.35853208855229</v>
      </c>
      <c r="N57" s="408"/>
      <c r="O57" s="715">
        <v>366</v>
      </c>
      <c r="P57" s="417"/>
      <c r="Q57" s="261">
        <f>O57*$Q$50*M57+O57*(1-$Q$50)*K57</f>
        <v>79503.50046996912</v>
      </c>
      <c r="R57" s="408"/>
      <c r="S57" s="719">
        <f>IF(AND(Q57&lt;&gt;0,O57&lt;&gt;0),Q57/(1+$D$17+$D$18+$D$19)/O57/30/(($D$25*1000000/$D$8))*1000,0)</f>
        <v>8.6185775902483499</v>
      </c>
      <c r="T57" s="417" t="s">
        <v>333</v>
      </c>
      <c r="U57" s="699">
        <f>S57*O57*30*$D$11*(1+$D$24)/1000</f>
        <v>14886.461539715305</v>
      </c>
      <c r="V57" s="417" t="s">
        <v>334</v>
      </c>
      <c r="W57" s="727">
        <f>IF(O57&lt;&gt;0,U57/O57,0)</f>
        <v>40.673392185014492</v>
      </c>
      <c r="X57" s="417" t="s">
        <v>335</v>
      </c>
      <c r="Y57" s="262" t="str">
        <f>IF(O57=0,"-",IF(AND(((F57*(1-$Y$50))&lt;W57),(W57&lt;(G57*(1+$Y$50)))),"OK", "NOK"))</f>
        <v>OK</v>
      </c>
      <c r="Z57" s="139"/>
      <c r="AA57" s="227">
        <f>IF(OR(Y57="OK",Y57="-"),1,0)</f>
        <v>1</v>
      </c>
      <c r="AB57" s="423"/>
    </row>
    <row r="58" spans="1:28" s="237" customFormat="1" ht="24" hidden="1" customHeight="1" outlineLevel="1" x14ac:dyDescent="0.25">
      <c r="A58" s="408"/>
      <c r="B58" s="2838"/>
      <c r="C58" s="2839"/>
      <c r="D58" s="2841"/>
      <c r="E58" s="710"/>
      <c r="F58" s="1473">
        <f>G57</f>
        <v>50</v>
      </c>
      <c r="G58" s="1474">
        <v>100</v>
      </c>
      <c r="H58" s="1475">
        <v>0.05</v>
      </c>
      <c r="I58" s="1309"/>
      <c r="J58" s="1476">
        <f>$L$32*(H52+(G54-F54)*H54+(G55-F55)*H55+(G56-F56)*H56+(G57-F57)*H57+(G58-F58)*H58)*$B$51*$C$51</f>
        <v>4033.3692473464744</v>
      </c>
      <c r="K58" s="1477">
        <f>$M$32*(H52+(G54-F54)*H54+(G55-F55)*H55+(G56-F56)*H56+(G57-F57)*H57+(G58-F58)*H58)*$B$51*$C$51</f>
        <v>336.11410394553951</v>
      </c>
      <c r="L58" s="1476">
        <f t="shared" si="1"/>
        <v>5041.7115591830934</v>
      </c>
      <c r="M58" s="1477">
        <f t="shared" si="1"/>
        <v>420.14262993192438</v>
      </c>
      <c r="N58" s="408"/>
      <c r="O58" s="715">
        <v>993</v>
      </c>
      <c r="P58" s="417"/>
      <c r="Q58" s="261">
        <f>O58*$Q$50*M58+O58*(1-$Q$50)*K58</f>
        <v>375481.46837016079</v>
      </c>
      <c r="R58" s="408"/>
      <c r="S58" s="719">
        <f>IF(AND(Q58&lt;&gt;0,O58&lt;&gt;0),Q58/(1+$D$17+$D$18+$D$19)/O58/30/(($D$25*1000000/$D$8))*1000,0)</f>
        <v>15.00270913858046</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855" t="s">
        <v>337</v>
      </c>
      <c r="C60" s="2856"/>
      <c r="D60" s="2856"/>
      <c r="E60" s="2856"/>
      <c r="F60" s="2856"/>
      <c r="G60" s="2856"/>
      <c r="H60" s="2856"/>
      <c r="I60" s="2856"/>
      <c r="J60" s="2856"/>
      <c r="K60" s="2856"/>
      <c r="L60" s="2856"/>
      <c r="M60" s="2856"/>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842" t="s">
        <v>320</v>
      </c>
      <c r="C61" s="2848"/>
      <c r="D61" s="2848"/>
      <c r="E61" s="2849"/>
      <c r="F61" s="2848"/>
      <c r="G61" s="2848"/>
      <c r="H61" s="2848"/>
      <c r="I61" s="2849"/>
      <c r="J61" s="2848"/>
      <c r="K61" s="2848"/>
      <c r="L61" s="2848"/>
      <c r="M61" s="2848"/>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842" t="s">
        <v>321</v>
      </c>
      <c r="C62" s="2842" t="s">
        <v>322</v>
      </c>
      <c r="D62" s="2844"/>
      <c r="E62" s="1308"/>
      <c r="F62" s="2864" t="s">
        <v>323</v>
      </c>
      <c r="G62" s="2848"/>
      <c r="H62" s="2865"/>
      <c r="I62" s="709"/>
      <c r="J62" s="2845" t="s">
        <v>876</v>
      </c>
      <c r="K62" s="2846"/>
      <c r="L62" s="2846"/>
      <c r="M62" s="2846"/>
      <c r="N62" s="408"/>
      <c r="O62" s="240">
        <f>O65+O67+O68+O69+O70+O71</f>
        <v>27440</v>
      </c>
      <c r="P62" s="417"/>
      <c r="Q62" s="717">
        <f>Q65+Q67+Q68+Q69+Q70+Q71</f>
        <v>272485.6301731139</v>
      </c>
      <c r="R62" s="408"/>
      <c r="S62" s="2847">
        <f>IF(AND(Q62&lt;&gt;0,O62&lt;&gt;0),Q62/(1+$D$17+$D$18+$D$19)/(($D$25*1000000/$D$8)),0)</f>
        <v>324.33609943305947</v>
      </c>
      <c r="T62" s="2850" t="s">
        <v>324</v>
      </c>
      <c r="U62" s="2847">
        <f>U65+U67+U68+U69+U70+U71</f>
        <v>255104.92177821489</v>
      </c>
      <c r="V62" s="417" t="s">
        <v>325</v>
      </c>
      <c r="W62" s="2847">
        <f>W65*O65+W67*O67+W68*O68+W69*O69+W70*O70+W71*O71</f>
        <v>255104.92177821489</v>
      </c>
      <c r="X62" s="417" t="s">
        <v>325</v>
      </c>
      <c r="Y62" s="694" t="s">
        <v>326</v>
      </c>
      <c r="Z62" s="408"/>
      <c r="AA62" s="408"/>
      <c r="AB62" s="423"/>
    </row>
    <row r="63" spans="1:28" s="237" customFormat="1" ht="24" hidden="1" customHeight="1" outlineLevel="1" x14ac:dyDescent="0.25">
      <c r="A63" s="408"/>
      <c r="B63" s="2843"/>
      <c r="C63" s="1418" t="s">
        <v>327</v>
      </c>
      <c r="D63" s="1419" t="s">
        <v>328</v>
      </c>
      <c r="E63" s="1309"/>
      <c r="F63" s="2866"/>
      <c r="G63" s="2848"/>
      <c r="H63" s="2865"/>
      <c r="I63" s="710"/>
      <c r="J63" s="2867" t="s">
        <v>329</v>
      </c>
      <c r="K63" s="2868"/>
      <c r="L63" s="2869" t="s">
        <v>330</v>
      </c>
      <c r="M63" s="2868"/>
      <c r="N63" s="408"/>
      <c r="O63" s="722" t="s">
        <v>331</v>
      </c>
      <c r="P63" s="417"/>
      <c r="Q63" s="718">
        <v>0.25</v>
      </c>
      <c r="R63" s="408"/>
      <c r="S63" s="2788"/>
      <c r="T63" s="2851"/>
      <c r="U63" s="2788"/>
      <c r="V63" s="417"/>
      <c r="W63" s="2787"/>
      <c r="X63" s="417"/>
      <c r="Y63" s="721">
        <f>$Y$33</f>
        <v>0.1</v>
      </c>
      <c r="Z63" s="408"/>
      <c r="AA63" s="408"/>
      <c r="AB63" s="423"/>
    </row>
    <row r="64" spans="1:28" s="237" customFormat="1" ht="24" hidden="1" customHeight="1" outlineLevel="1" x14ac:dyDescent="0.25">
      <c r="A64" s="408"/>
      <c r="B64" s="2879">
        <f>B51*$H$15</f>
        <v>0.2</v>
      </c>
      <c r="C64" s="2879">
        <f>C51</f>
        <v>1</v>
      </c>
      <c r="D64" s="2879">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880"/>
      <c r="C65" s="2880"/>
      <c r="D65" s="2880"/>
      <c r="E65" s="710"/>
      <c r="F65" s="1473" t="s">
        <v>289</v>
      </c>
      <c r="G65" s="1478">
        <f>G52</f>
        <v>5</v>
      </c>
      <c r="H65" s="1479">
        <f>H52</f>
        <v>0.3</v>
      </c>
      <c r="I65" s="1309"/>
      <c r="J65" s="1480">
        <f>$L$32*H65*$B$64*$C$64</f>
        <v>41.191856143112929</v>
      </c>
      <c r="K65" s="1477">
        <f>$M$32*H65*$B$64*$C$64</f>
        <v>3.4326546785927441</v>
      </c>
      <c r="L65" s="1476">
        <f>J65*$D$51</f>
        <v>51.489820178891165</v>
      </c>
      <c r="M65" s="1477">
        <f>K65*$D$51</f>
        <v>4.2908183482409301</v>
      </c>
      <c r="N65" s="408"/>
      <c r="O65" s="715">
        <v>15000</v>
      </c>
      <c r="P65" s="417"/>
      <c r="Q65" s="261">
        <f>O65*$Q$63*M65+O65*(1-$Q$63)*K65</f>
        <v>54707.93394007186</v>
      </c>
      <c r="R65" s="408"/>
      <c r="S65" s="719">
        <f>IF(AND(Q65&lt;&gt;0,O65&lt;&gt;0),Q65/(1+$D$17+$D$18+$D$19)/$H$15/O65/30/(($D$25*1000000/$D$8))*1000,0)</f>
        <v>0.7235349088109726</v>
      </c>
      <c r="T65" s="417" t="s">
        <v>333</v>
      </c>
      <c r="U65" s="699">
        <f>S65*O65*30*$D$11*(1+$D$24)/1000</f>
        <v>51218.345714462703</v>
      </c>
      <c r="V65" s="417" t="s">
        <v>334</v>
      </c>
      <c r="W65" s="699">
        <f>IF(O65&lt;&gt;0,U65/O65,0)</f>
        <v>3.4145563809641803</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880"/>
      <c r="C66" s="2880"/>
      <c r="D66" s="2880"/>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880"/>
      <c r="C67" s="2880"/>
      <c r="D67" s="2880"/>
      <c r="E67" s="710"/>
      <c r="F67" s="1473">
        <f>G65</f>
        <v>5</v>
      </c>
      <c r="G67" s="1478">
        <f t="shared" ref="G67:H71" si="2">G54</f>
        <v>15</v>
      </c>
      <c r="H67" s="1479">
        <f t="shared" si="2"/>
        <v>0.08</v>
      </c>
      <c r="I67" s="1309"/>
      <c r="J67" s="1480">
        <f>$L$32*(H65+(G67-F67)*H67)*$B$64*$C$64</f>
        <v>151.03680585808075</v>
      </c>
      <c r="K67" s="1477">
        <f>$M$32*(H65+(G67-F67)*H67)*$B$64*$C$64</f>
        <v>12.586400488173396</v>
      </c>
      <c r="L67" s="1476">
        <f t="shared" ref="L67:M71" si="3">J67*$D$51</f>
        <v>188.79600732260093</v>
      </c>
      <c r="M67" s="1477">
        <f t="shared" si="3"/>
        <v>15.733000610216745</v>
      </c>
      <c r="N67" s="408"/>
      <c r="O67" s="715">
        <v>8400</v>
      </c>
      <c r="P67" s="417"/>
      <c r="Q67" s="261">
        <f>O67*$Q$63*M67+O67*(1-$Q$63)*K67</f>
        <v>112333.62435694756</v>
      </c>
      <c r="R67" s="408"/>
      <c r="S67" s="719">
        <f>IF(AND(Q67&lt;&gt;0,O67&lt;&gt;0),Q67/(1+$D$17+$D$18+$D$19)/$H$15/O67/30/(($D$25*1000000/$D$8))*1000,0)</f>
        <v>2.6529613323069001</v>
      </c>
      <c r="T67" s="417" t="s">
        <v>333</v>
      </c>
      <c r="U67" s="699">
        <f>S67*O67*30*$D$11*(1+$D$24)/1000</f>
        <v>105168.33653369677</v>
      </c>
      <c r="V67" s="417" t="s">
        <v>334</v>
      </c>
      <c r="W67" s="699">
        <f>IF(O67&lt;&gt;0,U67/O67,0)</f>
        <v>12.52004006353533</v>
      </c>
      <c r="X67" s="417" t="s">
        <v>335</v>
      </c>
      <c r="Y67" s="262" t="str">
        <f>IF(O67=0,"-",IF(AND(((F67*(1-$Y$63))&lt;W67),(W67&lt;(G67*(1+$Y$63)))),"OK", "NOK"))</f>
        <v>OK</v>
      </c>
      <c r="Z67" s="259">
        <f>W67/$H$15</f>
        <v>62.600200317676645</v>
      </c>
      <c r="AA67" s="227">
        <f>IF(OR(Y67="OK",Y67="-"),1,0)</f>
        <v>1</v>
      </c>
      <c r="AB67" s="409"/>
    </row>
    <row r="68" spans="1:28" s="237" customFormat="1" ht="24" hidden="1" customHeight="1" outlineLevel="1" x14ac:dyDescent="0.25">
      <c r="A68" s="408"/>
      <c r="B68" s="2880"/>
      <c r="C68" s="2880"/>
      <c r="D68" s="2880"/>
      <c r="E68" s="710"/>
      <c r="F68" s="1473">
        <f>G67</f>
        <v>15</v>
      </c>
      <c r="G68" s="1478">
        <f t="shared" si="2"/>
        <v>25</v>
      </c>
      <c r="H68" s="1479">
        <f t="shared" si="2"/>
        <v>7.2499999999999995E-2</v>
      </c>
      <c r="I68" s="1309"/>
      <c r="J68" s="1480">
        <f>$L$32*(H65+(G67-F67)*H67+(G68-F68)*H68)*$B$64*$C$64</f>
        <v>250.58379153727034</v>
      </c>
      <c r="K68" s="1477">
        <f>$M$32*(H65+(G67-F67)*H67+(G68-F68)*H68)*$B$64*$C$64</f>
        <v>20.881982628105863</v>
      </c>
      <c r="L68" s="1476">
        <f t="shared" si="3"/>
        <v>313.22973942158791</v>
      </c>
      <c r="M68" s="1477">
        <f t="shared" si="3"/>
        <v>26.102478285132328</v>
      </c>
      <c r="N68" s="408"/>
      <c r="O68" s="715">
        <v>2960</v>
      </c>
      <c r="P68" s="417"/>
      <c r="Q68" s="261">
        <f>O68*$Q$63*M68+O68*(1-$Q$63)*K68</f>
        <v>65673.835365392937</v>
      </c>
      <c r="R68" s="408"/>
      <c r="S68" s="719">
        <f>IF(AND(Q68&lt;&gt;0,O68&lt;&gt;0),Q68/(1+$D$17+$D$18+$D$19)/$H$15/O68/30/(($D$25*1000000/$D$8))*1000,0)</f>
        <v>4.4015040286000842</v>
      </c>
      <c r="T68" s="417" t="s">
        <v>333</v>
      </c>
      <c r="U68" s="699">
        <f>S68*O68*30*$D$11*(1+$D$24)/1000</f>
        <v>61484.778566561676</v>
      </c>
      <c r="V68" s="417" t="s">
        <v>334</v>
      </c>
      <c r="W68" s="699">
        <f>IF(O68&lt;&gt;0,U68/O68,0)</f>
        <v>20.771884650865431</v>
      </c>
      <c r="X68" s="417" t="s">
        <v>335</v>
      </c>
      <c r="Y68" s="262" t="str">
        <f>IF(O68=0,"-",IF(AND(((F68*(1-$Y$63))&lt;W68),(W68&lt;(G68*(1+$Y$63)))),"OK", "NOK"))</f>
        <v>OK</v>
      </c>
      <c r="Z68" s="259">
        <f>W68/$H$15</f>
        <v>103.85942325432715</v>
      </c>
      <c r="AA68" s="227">
        <f>IF(OR(Y68="OK",Y68="-"),1,0)</f>
        <v>1</v>
      </c>
      <c r="AB68" s="409"/>
    </row>
    <row r="69" spans="1:28" s="237" customFormat="1" ht="24" hidden="1" customHeight="1" outlineLevel="1" x14ac:dyDescent="0.25">
      <c r="A69" s="408"/>
      <c r="B69" s="2880"/>
      <c r="C69" s="2880"/>
      <c r="D69" s="2880"/>
      <c r="E69" s="710"/>
      <c r="F69" s="1473">
        <f>G68</f>
        <v>25</v>
      </c>
      <c r="G69" s="1478">
        <f t="shared" si="2"/>
        <v>35</v>
      </c>
      <c r="H69" s="1479">
        <f t="shared" si="2"/>
        <v>6.5000000000000002E-2</v>
      </c>
      <c r="I69" s="1309"/>
      <c r="J69" s="1480">
        <f>$L$32*(H65+(G67-F67)*H67+(G68-F68)*H68+(G69-F69)*H69)*$B$64*$C$64</f>
        <v>339.83281318068168</v>
      </c>
      <c r="K69" s="1477">
        <f>$M$32*(H65+(G67-F67)*H67+(G68-F68)*H68+(G69-F69)*H69)*$B$64*$C$64</f>
        <v>28.319401098390138</v>
      </c>
      <c r="L69" s="1476">
        <f t="shared" si="3"/>
        <v>424.79101647585208</v>
      </c>
      <c r="M69" s="1477">
        <f t="shared" si="3"/>
        <v>35.399251372987671</v>
      </c>
      <c r="N69" s="408"/>
      <c r="O69" s="715">
        <v>693</v>
      </c>
      <c r="P69" s="417"/>
      <c r="Q69" s="261">
        <f>O69*$Q$63*M69+O69*(1-$Q$63)*K69</f>
        <v>20851.929021258387</v>
      </c>
      <c r="R69" s="408"/>
      <c r="S69" s="719">
        <f>IF(AND(Q69&lt;&gt;0,O69&lt;&gt;0),Q69/(1+$D$17+$D$18+$D$19)/$H$15/O69/30/(($D$25*1000000/$D$8))*1000,0)</f>
        <v>5.9691629976905238</v>
      </c>
      <c r="T69" s="417" t="s">
        <v>333</v>
      </c>
      <c r="U69" s="699">
        <f>S69*O69*30*$D$11*(1+$D$24)/1000</f>
        <v>19521.872469067457</v>
      </c>
      <c r="V69" s="417" t="s">
        <v>334</v>
      </c>
      <c r="W69" s="699">
        <f>IF(O69&lt;&gt;0,U69/O69,0)</f>
        <v>28.170090142954482</v>
      </c>
      <c r="X69" s="417" t="s">
        <v>335</v>
      </c>
      <c r="Y69" s="262" t="str">
        <f>IF(O69=0,"-",IF(AND(((F69*(1-$Y$63))&lt;W69),(W69&lt;(G69*(1+$Y$63)))),"OK", "NOK"))</f>
        <v>OK</v>
      </c>
      <c r="Z69" s="259">
        <f>W69/$H$15</f>
        <v>140.85045071477239</v>
      </c>
      <c r="AA69" s="227">
        <f>IF(OR(Y69="OK",Y69="-"),1,0)</f>
        <v>1</v>
      </c>
      <c r="AB69" s="409"/>
    </row>
    <row r="70" spans="1:28" s="237" customFormat="1" ht="24" hidden="1" customHeight="1" outlineLevel="1" x14ac:dyDescent="0.25">
      <c r="A70" s="408"/>
      <c r="B70" s="2880"/>
      <c r="C70" s="2880"/>
      <c r="D70" s="2880"/>
      <c r="E70" s="710"/>
      <c r="F70" s="1473">
        <f>G69</f>
        <v>35</v>
      </c>
      <c r="G70" s="1478">
        <f t="shared" si="2"/>
        <v>50</v>
      </c>
      <c r="H70" s="1479">
        <f t="shared" si="2"/>
        <v>0.06</v>
      </c>
      <c r="I70" s="1309"/>
      <c r="J70" s="1480">
        <f>$L$32*(H65+(G67-F67)*H67+(G68-F68)*H68+(G69-F69)*H69+(G70-F70)*H70)*$B$64*$C$64</f>
        <v>463.40838161002051</v>
      </c>
      <c r="K70" s="1477">
        <f>$M$32*(H65+(G67-F67)*H67+(G68-F68)*H68+(G69-F69)*H69+(G70-F70)*H70)*$B$64*$C$64</f>
        <v>38.617365134168374</v>
      </c>
      <c r="L70" s="1476">
        <f t="shared" si="3"/>
        <v>579.2604770125256</v>
      </c>
      <c r="M70" s="1477">
        <f t="shared" si="3"/>
        <v>48.271706417710469</v>
      </c>
      <c r="N70" s="408"/>
      <c r="O70" s="715">
        <v>287</v>
      </c>
      <c r="P70" s="417"/>
      <c r="Q70" s="261">
        <f>O70*$Q$63*M70+O70*(1-$Q$63)*K70</f>
        <v>11775.882780600468</v>
      </c>
      <c r="R70" s="408"/>
      <c r="S70" s="719">
        <f>IF(AND(Q70&lt;&gt;0,O70&lt;&gt;0),Q70/(1+$D$17+$D$18+$D$19)/$H$15/O70/30/(($D$25*1000000/$D$8))*1000,0)</f>
        <v>8.139767724123443</v>
      </c>
      <c r="T70" s="417" t="s">
        <v>333</v>
      </c>
      <c r="U70" s="699">
        <f>S70*O70*30*$D$11*(1+$D$24)/1000</f>
        <v>11024.748915038097</v>
      </c>
      <c r="V70" s="417" t="s">
        <v>334</v>
      </c>
      <c r="W70" s="699">
        <f>IF(O70&lt;&gt;0,U70/O70,0)</f>
        <v>38.413759285847028</v>
      </c>
      <c r="X70" s="417" t="s">
        <v>335</v>
      </c>
      <c r="Y70" s="262" t="str">
        <f>IF(O70=0,"-",IF(AND(((F70*(1-$Y$63))&lt;W70),(W70&lt;(G70*(1+$Y$63)))),"OK", "NOK"))</f>
        <v>OK</v>
      </c>
      <c r="Z70" s="259">
        <f>W70/$H$15</f>
        <v>192.06879642923514</v>
      </c>
      <c r="AA70" s="227">
        <f>IF(OR(Y70="OK",Y70="-"),1,0)</f>
        <v>1</v>
      </c>
      <c r="AB70" s="409"/>
    </row>
    <row r="71" spans="1:28" s="237" customFormat="1" ht="24" hidden="1" customHeight="1" outlineLevel="1" x14ac:dyDescent="0.25">
      <c r="A71" s="408"/>
      <c r="B71" s="2881"/>
      <c r="C71" s="2881"/>
      <c r="D71" s="2881"/>
      <c r="E71" s="710"/>
      <c r="F71" s="1473">
        <f>G70</f>
        <v>50</v>
      </c>
      <c r="G71" s="1478">
        <f t="shared" si="2"/>
        <v>100</v>
      </c>
      <c r="H71" s="1479">
        <f t="shared" si="2"/>
        <v>0.05</v>
      </c>
      <c r="I71" s="1309"/>
      <c r="J71" s="1480">
        <f>$L$32*(H65+(G67-F67)*H67+(G68-F68)*H68+(G69-F69)*H69+(G70-F70)*H70+(G71-F71)*H71)*$B$64*$C$64</f>
        <v>806.67384946929496</v>
      </c>
      <c r="K71" s="1477">
        <f>$M$32*(H65+(G67-F67)*H67+(G68-F68)*H68+(G69-F69)*H69+(G70-F70)*H70+(G71-F71)*H71)*$B$64*$C$64</f>
        <v>67.222820789107899</v>
      </c>
      <c r="L71" s="1476">
        <f t="shared" si="3"/>
        <v>1008.3423118366187</v>
      </c>
      <c r="M71" s="1477">
        <f t="shared" si="3"/>
        <v>84.028525986384878</v>
      </c>
      <c r="N71" s="408"/>
      <c r="O71" s="715">
        <v>100</v>
      </c>
      <c r="P71" s="417"/>
      <c r="Q71" s="261">
        <f>O71*$Q$63*M71+O71*(1-$Q$63)*K71</f>
        <v>7142.4247088427146</v>
      </c>
      <c r="R71" s="408"/>
      <c r="S71" s="719">
        <f>IF(AND(Q71&lt;&gt;0,O71&lt;&gt;0),Q71/(1+$D$17+$D$18+$D$19)/$H$15/O71/30/(($D$25*1000000/$D$8))*1000,0)</f>
        <v>14.169225297548214</v>
      </c>
      <c r="T71" s="417" t="s">
        <v>333</v>
      </c>
      <c r="U71" s="699">
        <f>S71*O71*30*$D$11*(1+$D$24)/1000</f>
        <v>6686.8395793881864</v>
      </c>
      <c r="V71" s="417" t="s">
        <v>334</v>
      </c>
      <c r="W71" s="699">
        <f>IF(O71&lt;&gt;0,U71/O71,0)</f>
        <v>66.868395793881859</v>
      </c>
      <c r="X71" s="417" t="s">
        <v>335</v>
      </c>
      <c r="Y71" s="262" t="str">
        <f>IF(O71=0,"-",IF(AND(((F71*(1-$Y$63))&lt;W71),(W71&lt;(G71*(1+$Y$63)))),"OK", "NOK"))</f>
        <v>OK</v>
      </c>
      <c r="Z71" s="259">
        <f>W71/$H$15</f>
        <v>334.3419789694093</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855" t="s">
        <v>707</v>
      </c>
      <c r="C73" s="2856"/>
      <c r="D73" s="2856"/>
      <c r="E73" s="2856"/>
      <c r="F73" s="2856"/>
      <c r="G73" s="2856"/>
      <c r="H73" s="2856"/>
      <c r="I73" s="2856"/>
      <c r="J73" s="2856"/>
      <c r="K73" s="2856"/>
      <c r="L73" s="2856"/>
      <c r="M73" s="2856"/>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842" t="s">
        <v>320</v>
      </c>
      <c r="C74" s="2848"/>
      <c r="D74" s="2848"/>
      <c r="E74" s="2849"/>
      <c r="F74" s="2848"/>
      <c r="G74" s="2848"/>
      <c r="H74" s="2848"/>
      <c r="I74" s="2849"/>
      <c r="J74" s="2848"/>
      <c r="K74" s="2848"/>
      <c r="L74" s="2848"/>
      <c r="M74" s="2848"/>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842" t="s">
        <v>321</v>
      </c>
      <c r="C75" s="2842" t="s">
        <v>322</v>
      </c>
      <c r="D75" s="2844"/>
      <c r="E75" s="1308"/>
      <c r="F75" s="2864" t="s">
        <v>323</v>
      </c>
      <c r="G75" s="2848"/>
      <c r="H75" s="2865"/>
      <c r="I75" s="709"/>
      <c r="J75" s="2845" t="s">
        <v>876</v>
      </c>
      <c r="K75" s="2846"/>
      <c r="L75" s="2846"/>
      <c r="M75" s="2846"/>
      <c r="N75" s="408"/>
      <c r="O75" s="240">
        <f>O78+O80+O81+O82+O83+O84</f>
        <v>27440</v>
      </c>
      <c r="P75" s="417"/>
      <c r="Q75" s="717">
        <f>Q78+Q80+Q81+Q82+Q83+Q84</f>
        <v>3939659.9200300658</v>
      </c>
      <c r="R75" s="408"/>
      <c r="S75" s="2847">
        <f>IF(AND(Q75&lt;&gt;0,O75&lt;&gt;0),Q75/(1+$D$17+$D$18+$D$19)/(($D$25*1000000/$D$8)),0)</f>
        <v>4689.3259315859077</v>
      </c>
      <c r="T75" s="2850" t="s">
        <v>324</v>
      </c>
      <c r="U75" s="2847">
        <f>U78+U80+U81+U82+U83+U84</f>
        <v>737673.12800570857</v>
      </c>
      <c r="V75" s="417" t="s">
        <v>325</v>
      </c>
      <c r="W75" s="2847">
        <f>W78*O78+W80*O80+W81*O81+W82*O82+W83*O83+W84*O84</f>
        <v>737673.12800570868</v>
      </c>
      <c r="X75" s="417" t="s">
        <v>325</v>
      </c>
      <c r="Y75" s="694" t="s">
        <v>326</v>
      </c>
      <c r="Z75" s="139"/>
      <c r="AA75" s="139"/>
      <c r="AB75" s="423"/>
    </row>
    <row r="76" spans="1:28" s="237" customFormat="1" ht="24" hidden="1" customHeight="1" outlineLevel="1" x14ac:dyDescent="0.25">
      <c r="A76" s="409"/>
      <c r="B76" s="2843"/>
      <c r="C76" s="1418" t="s">
        <v>327</v>
      </c>
      <c r="D76" s="1419" t="s">
        <v>328</v>
      </c>
      <c r="E76" s="1309"/>
      <c r="F76" s="2866"/>
      <c r="G76" s="2848"/>
      <c r="H76" s="2865"/>
      <c r="I76" s="710"/>
      <c r="J76" s="2867" t="s">
        <v>329</v>
      </c>
      <c r="K76" s="2868"/>
      <c r="L76" s="2869" t="s">
        <v>330</v>
      </c>
      <c r="M76" s="2868"/>
      <c r="N76" s="408"/>
      <c r="O76" s="722" t="s">
        <v>331</v>
      </c>
      <c r="P76" s="417"/>
      <c r="Q76" s="718">
        <v>0.5</v>
      </c>
      <c r="R76" s="408"/>
      <c r="S76" s="2788"/>
      <c r="T76" s="2851"/>
      <c r="U76" s="2788"/>
      <c r="V76" s="417"/>
      <c r="W76" s="2787"/>
      <c r="X76" s="417"/>
      <c r="Y76" s="721">
        <f>$Y$33</f>
        <v>0.1</v>
      </c>
      <c r="Z76" s="139"/>
      <c r="AA76" s="139"/>
      <c r="AB76" s="423"/>
    </row>
    <row r="77" spans="1:28" s="237" customFormat="1" ht="24" hidden="1" customHeight="1" outlineLevel="1" x14ac:dyDescent="0.25">
      <c r="A77" s="409"/>
      <c r="B77" s="2837">
        <v>2</v>
      </c>
      <c r="C77" s="2837">
        <v>1</v>
      </c>
      <c r="D77" s="2840">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838"/>
      <c r="C78" s="2877"/>
      <c r="D78" s="2878"/>
      <c r="E78" s="710"/>
      <c r="F78" s="1473" t="s">
        <v>289</v>
      </c>
      <c r="G78" s="1474">
        <v>5</v>
      </c>
      <c r="H78" s="1475">
        <f>0.35-0.25</f>
        <v>9.9999999999999978E-2</v>
      </c>
      <c r="I78" s="1309"/>
      <c r="J78" s="1476">
        <f>$L$32*H78*$B$77*$C$77</f>
        <v>137.30618714370974</v>
      </c>
      <c r="K78" s="1477">
        <f>$M$32*H78*$B$77*$C$77</f>
        <v>11.442182261975811</v>
      </c>
      <c r="L78" s="1476">
        <f>J78*$D$77</f>
        <v>171.63273392963717</v>
      </c>
      <c r="M78" s="1477">
        <f>K78*$D$77</f>
        <v>14.302727827469763</v>
      </c>
      <c r="N78" s="408"/>
      <c r="O78" s="715">
        <v>7692</v>
      </c>
      <c r="P78" s="417"/>
      <c r="Q78" s="261">
        <f>O78*$Q$76*M78+O78*(1-$Q$76)*K78</f>
        <v>99014.924204007679</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838"/>
      <c r="C79" s="2877"/>
      <c r="D79" s="2878"/>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838"/>
      <c r="C80" s="2877"/>
      <c r="D80" s="2878"/>
      <c r="E80" s="710"/>
      <c r="F80" s="1473">
        <f>G78</f>
        <v>5</v>
      </c>
      <c r="G80" s="1474">
        <v>20</v>
      </c>
      <c r="H80" s="1475">
        <f>0.05</f>
        <v>0.05</v>
      </c>
      <c r="I80" s="1309"/>
      <c r="J80" s="1476">
        <f>$L$32*(H78+(G80-F80)*H80)*$B$77*$C$77</f>
        <v>1167.1025907215328</v>
      </c>
      <c r="K80" s="1477">
        <f>$M$32*(H78+(G80-F80)*H80)*$B$77*$C$77</f>
        <v>97.258549226794415</v>
      </c>
      <c r="L80" s="1476">
        <f t="shared" ref="L80:M84" si="4">J80*$D$77</f>
        <v>1458.878238401916</v>
      </c>
      <c r="M80" s="1477">
        <f t="shared" si="4"/>
        <v>121.57318653349301</v>
      </c>
      <c r="N80" s="408"/>
      <c r="O80" s="715">
        <v>8500</v>
      </c>
      <c r="P80" s="417"/>
      <c r="Q80" s="261">
        <f>O80*$Q$76*M80+O80*(1-$Q$76)*K80</f>
        <v>930034.87698122161</v>
      </c>
      <c r="R80" s="408"/>
      <c r="S80" s="719">
        <f>IF(AND(Q80&lt;&gt;0,O80&lt;&gt;0),Q80/(1+$D$17+$D$18+$D$19)/O80/30/(($D$25*1000000/$D$8))*1000,0)</f>
        <v>4.3412094528658365</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838"/>
      <c r="C81" s="2877"/>
      <c r="D81" s="2878"/>
      <c r="E81" s="710"/>
      <c r="F81" s="1473">
        <f>G80</f>
        <v>20</v>
      </c>
      <c r="G81" s="1474">
        <v>30</v>
      </c>
      <c r="H81" s="1475">
        <f>0.045</f>
        <v>4.4999999999999998E-2</v>
      </c>
      <c r="I81" s="1309"/>
      <c r="J81" s="1476">
        <f>$L$32*(H78+(G80-F80)*H80+(G81-F81)*H81)*$B$77*$C$77</f>
        <v>1784.9804328682267</v>
      </c>
      <c r="K81" s="1477">
        <f>$M$32*(H78+(G80-F80)*H80+(G81-F81)*H81)*$B$77*$C$77</f>
        <v>148.74836940568554</v>
      </c>
      <c r="L81" s="1476">
        <f t="shared" si="4"/>
        <v>2231.2255410852831</v>
      </c>
      <c r="M81" s="1477">
        <f t="shared" si="4"/>
        <v>185.93546175710691</v>
      </c>
      <c r="N81" s="408"/>
      <c r="O81" s="715">
        <v>2573</v>
      </c>
      <c r="P81" s="417"/>
      <c r="Q81" s="261">
        <f>O81*$Q$76*M81+O81*(1-$Q$76)*K81</f>
        <v>430570.74879093247</v>
      </c>
      <c r="R81" s="408"/>
      <c r="S81" s="719">
        <f>IF(AND(Q81&lt;&gt;0,O81&lt;&gt;0),Q81/(1+$D$17+$D$18+$D$19)/O81/30/(($D$25*1000000/$D$8))*1000,0)</f>
        <v>6.6394968102653955</v>
      </c>
      <c r="T81" s="417" t="s">
        <v>333</v>
      </c>
      <c r="U81" s="699">
        <f>S81*O81*30*$D$11*(1+$D$24)/1000</f>
        <v>80621.291567202948</v>
      </c>
      <c r="V81" s="417" t="s">
        <v>334</v>
      </c>
      <c r="W81" s="699">
        <f>IF(O81&lt;&gt;0,U81/O81,0)</f>
        <v>31.333576201788944</v>
      </c>
      <c r="X81" s="417" t="s">
        <v>334</v>
      </c>
      <c r="Y81" s="262" t="str">
        <f>IF(O81=0,"-",IF(AND(((F81*(1-$Y$76))&lt;W81),(W81&lt;(G81*(1+$Y$76)))),"OK", "NOK"))</f>
        <v>OK</v>
      </c>
      <c r="Z81" s="139"/>
      <c r="AA81" s="227">
        <f>IF(OR(Y81="OK",Y81="-"),1,0)</f>
        <v>1</v>
      </c>
      <c r="AB81" s="423"/>
    </row>
    <row r="82" spans="1:28" s="237" customFormat="1" ht="24" hidden="1" customHeight="1" outlineLevel="1" x14ac:dyDescent="0.25">
      <c r="A82" s="408"/>
      <c r="B82" s="2838"/>
      <c r="C82" s="2877"/>
      <c r="D82" s="2878"/>
      <c r="E82" s="710"/>
      <c r="F82" s="1473">
        <f>G81</f>
        <v>30</v>
      </c>
      <c r="G82" s="1474">
        <v>40</v>
      </c>
      <c r="H82" s="1475">
        <f>0.04</f>
        <v>0.04</v>
      </c>
      <c r="I82" s="1309"/>
      <c r="J82" s="1476">
        <f>$L$32*(H78+(G80-F80)*H80+(G81-F81)*H81+(G82-F82)*H82)*$B$77*$C$77</f>
        <v>2334.2051814430656</v>
      </c>
      <c r="K82" s="1477">
        <f>$M$32*(H78+(G80-F80)*H80+(G81-F81)*H81+(G82-F82)*H82)*$B$77*$C$77</f>
        <v>194.5170984535888</v>
      </c>
      <c r="L82" s="1476">
        <f t="shared" si="4"/>
        <v>2917.7564768038319</v>
      </c>
      <c r="M82" s="1477">
        <f t="shared" si="4"/>
        <v>243.146373066986</v>
      </c>
      <c r="N82" s="408"/>
      <c r="O82" s="715">
        <v>4825</v>
      </c>
      <c r="P82" s="417"/>
      <c r="Q82" s="261">
        <f>O82*$Q$76*M82+O82*(1-$Q$76)*K82</f>
        <v>1055863.1250433866</v>
      </c>
      <c r="R82" s="408"/>
      <c r="S82" s="719">
        <f>IF(AND(Q82&lt;&gt;0,O82&lt;&gt;0),Q82/(1+$D$17+$D$18+$D$19)/O82/30/(($D$25*1000000/$D$8))*1000,0)</f>
        <v>8.6824189057316712</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838"/>
      <c r="C83" s="2877"/>
      <c r="D83" s="2878"/>
      <c r="E83" s="710"/>
      <c r="F83" s="1473">
        <f>G82</f>
        <v>40</v>
      </c>
      <c r="G83" s="1474">
        <v>55</v>
      </c>
      <c r="H83" s="1475">
        <f>0.035</f>
        <v>3.5000000000000003E-2</v>
      </c>
      <c r="I83" s="1309"/>
      <c r="J83" s="1476">
        <f>$L$32*(H78+(G80-F80)*H80+(G81-F81)*H81+(G82-F82)*H82+(G83-F83)*H83)*$B$77*$C$77</f>
        <v>3055.0626639475418</v>
      </c>
      <c r="K83" s="1477">
        <f>$M$32*(H78+(G80-F80)*H80+(G81-F81)*H81+(G82-F82)*H82+(G83-F83)*H83)*$B$77*$C$77</f>
        <v>254.5885553289618</v>
      </c>
      <c r="L83" s="1476">
        <f t="shared" si="4"/>
        <v>3818.8283299344271</v>
      </c>
      <c r="M83" s="1477">
        <f t="shared" si="4"/>
        <v>318.23569416120228</v>
      </c>
      <c r="N83" s="408"/>
      <c r="O83" s="715">
        <v>2000</v>
      </c>
      <c r="P83" s="417"/>
      <c r="Q83" s="261">
        <f>O83*$Q$76*M83+O83*(1-$Q$76)*K83</f>
        <v>572824.2494901641</v>
      </c>
      <c r="R83" s="408"/>
      <c r="S83" s="719">
        <f>IF(AND(Q83&lt;&gt;0,O83&lt;&gt;0),Q83/(1+$D$17+$D$18+$D$19)/O83/30/(($D$25*1000000/$D$8))*1000,0)</f>
        <v>11.363754156031158</v>
      </c>
      <c r="T83" s="417" t="s">
        <v>333</v>
      </c>
      <c r="U83" s="699">
        <f>S83*O83*30*$D$11*(1+$D$24)/1000</f>
        <v>107257.241613816</v>
      </c>
      <c r="V83" s="458" t="s">
        <v>334</v>
      </c>
      <c r="W83" s="699">
        <f>IF(O83&lt;&gt;0,U83/O83,0)</f>
        <v>53.628620806908003</v>
      </c>
      <c r="X83" s="417" t="s">
        <v>334</v>
      </c>
      <c r="Y83" s="262" t="str">
        <f>IF(O83=0,"-",IF(AND(((F83*(1-$Y$76))&lt;W83),(W83&lt;(G83*(1+$Y$76)))),"OK", "NOK"))</f>
        <v>OK</v>
      </c>
      <c r="Z83" s="139"/>
      <c r="AA83" s="227">
        <f>IF(OR(Y83="OK",Y83="-"),1,0)</f>
        <v>1</v>
      </c>
      <c r="AB83" s="423"/>
    </row>
    <row r="84" spans="1:28" s="237" customFormat="1" ht="24" hidden="1" customHeight="1" outlineLevel="1" x14ac:dyDescent="0.25">
      <c r="A84" s="408"/>
      <c r="B84" s="2838"/>
      <c r="C84" s="2877"/>
      <c r="D84" s="2878"/>
      <c r="E84" s="710"/>
      <c r="F84" s="1473">
        <f>G83</f>
        <v>55</v>
      </c>
      <c r="G84" s="1474">
        <v>100</v>
      </c>
      <c r="H84" s="1475">
        <f>0.03</f>
        <v>0.03</v>
      </c>
      <c r="I84" s="1309"/>
      <c r="J84" s="1476">
        <f>$L$32*(H78+(G80-F80)*H80+(G81-F81)*H81+(G82-F82)*H82+(G83-F83)*H83+(G84-F84)*H84)*$B$77*$C$77</f>
        <v>4908.6961903876227</v>
      </c>
      <c r="K84" s="1477">
        <f>$M$32*(H78+(G80-F80)*H80+(G81-F81)*H81+(G82-F82)*H82+(G83-F83)*H83+(G84-F84)*H84)*$B$77*$C$77</f>
        <v>409.05801586563524</v>
      </c>
      <c r="L84" s="1476">
        <f t="shared" si="4"/>
        <v>6135.8702379845281</v>
      </c>
      <c r="M84" s="1477">
        <f t="shared" si="4"/>
        <v>511.32251983204407</v>
      </c>
      <c r="N84" s="408"/>
      <c r="O84" s="715">
        <v>1850</v>
      </c>
      <c r="P84" s="417"/>
      <c r="Q84" s="261">
        <f>O84*$Q$76*M84+O84*(1-$Q$76)*K84</f>
        <v>851351.99552035332</v>
      </c>
      <c r="R84" s="408"/>
      <c r="S84" s="719">
        <f>IF(AND(Q84&lt;&gt;0,O84&lt;&gt;0),Q84/(1+$D$17+$D$18+$D$19)/O84/30/(($D$25*1000000/$D$8))*1000,0)</f>
        <v>18.258616228229833</v>
      </c>
      <c r="T84" s="417" t="s">
        <v>333</v>
      </c>
      <c r="U84" s="699">
        <f>S84*O84*30*$D$11*(1+$D$24)/1000</f>
        <v>159409.56892660123</v>
      </c>
      <c r="V84" s="417" t="s">
        <v>334</v>
      </c>
      <c r="W84" s="699">
        <f>IF(O84&lt;&gt;0,U84/O84,0)</f>
        <v>86.167334554919591</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855" t="s">
        <v>338</v>
      </c>
      <c r="C86" s="2856"/>
      <c r="D86" s="2856"/>
      <c r="E86" s="2856"/>
      <c r="F86" s="2856"/>
      <c r="G86" s="2856"/>
      <c r="H86" s="2856"/>
      <c r="I86" s="2856"/>
      <c r="J86" s="2856"/>
      <c r="K86" s="2856"/>
      <c r="L86" s="2856"/>
      <c r="M86" s="2856"/>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842" t="s">
        <v>320</v>
      </c>
      <c r="C87" s="2848"/>
      <c r="D87" s="2848"/>
      <c r="E87" s="2849"/>
      <c r="F87" s="2848"/>
      <c r="G87" s="2848"/>
      <c r="H87" s="2848"/>
      <c r="I87" s="2849"/>
      <c r="J87" s="2848"/>
      <c r="K87" s="2848"/>
      <c r="L87" s="2848"/>
      <c r="M87" s="2848"/>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842" t="s">
        <v>321</v>
      </c>
      <c r="C88" s="2842" t="s">
        <v>322</v>
      </c>
      <c r="D88" s="2844"/>
      <c r="E88" s="1308"/>
      <c r="F88" s="2864" t="s">
        <v>323</v>
      </c>
      <c r="G88" s="2848"/>
      <c r="H88" s="2865"/>
      <c r="I88" s="709"/>
      <c r="J88" s="2845" t="s">
        <v>876</v>
      </c>
      <c r="K88" s="2846"/>
      <c r="L88" s="2846"/>
      <c r="M88" s="2846"/>
      <c r="N88" s="408"/>
      <c r="O88" s="262">
        <f>O91+O93+O94+O95+O96</f>
        <v>5</v>
      </c>
      <c r="P88" s="417"/>
      <c r="Q88" s="717">
        <f>Q91+Q93+Q94+Q95+Q96</f>
        <v>3335.3961293659495</v>
      </c>
      <c r="R88" s="408"/>
      <c r="S88" s="2847">
        <f>IF(AND(Q88&lt;&gt;0,O88&lt;&gt;0),Q88/(1+$D$17+$D$18+$D$19)/(($D$25*1000000/$D$8)),0)</f>
        <v>3.9700786055227959</v>
      </c>
      <c r="T88" s="2850" t="s">
        <v>324</v>
      </c>
      <c r="U88" s="2847">
        <f>U91+U93+U94+U95+U96+Z97</f>
        <v>624.52905728693872</v>
      </c>
      <c r="V88" s="408" t="s">
        <v>325</v>
      </c>
      <c r="W88" s="2847">
        <f>W91*O91+W93*O93+W94*O94+W95*O95+W96*O96</f>
        <v>624.52905728693872</v>
      </c>
      <c r="X88" s="417" t="s">
        <v>325</v>
      </c>
      <c r="Y88" s="694" t="s">
        <v>326</v>
      </c>
      <c r="Z88" s="139"/>
      <c r="AA88" s="139"/>
      <c r="AB88" s="423"/>
    </row>
    <row r="89" spans="1:28" s="237" customFormat="1" ht="24" hidden="1" customHeight="1" outlineLevel="1" x14ac:dyDescent="0.25">
      <c r="A89" s="408"/>
      <c r="B89" s="2843"/>
      <c r="C89" s="1418" t="s">
        <v>327</v>
      </c>
      <c r="D89" s="1419" t="s">
        <v>328</v>
      </c>
      <c r="E89" s="1309"/>
      <c r="F89" s="2866"/>
      <c r="G89" s="2848"/>
      <c r="H89" s="2865"/>
      <c r="I89" s="710"/>
      <c r="J89" s="2867" t="s">
        <v>329</v>
      </c>
      <c r="K89" s="2868"/>
      <c r="L89" s="2869" t="s">
        <v>330</v>
      </c>
      <c r="M89" s="2868"/>
      <c r="N89" s="408"/>
      <c r="O89" s="722" t="s">
        <v>331</v>
      </c>
      <c r="P89" s="417"/>
      <c r="Q89" s="718">
        <v>0.25</v>
      </c>
      <c r="R89" s="408"/>
      <c r="S89" s="2788"/>
      <c r="T89" s="2851"/>
      <c r="U89" s="2788"/>
      <c r="V89" s="408"/>
      <c r="W89" s="2787"/>
      <c r="X89" s="417"/>
      <c r="Y89" s="721">
        <f>$Y$33</f>
        <v>0.1</v>
      </c>
      <c r="Z89" s="139"/>
      <c r="AA89" s="139"/>
      <c r="AB89" s="423"/>
    </row>
    <row r="90" spans="1:28" s="237" customFormat="1" ht="24" hidden="1" customHeight="1" outlineLevel="1" x14ac:dyDescent="0.25">
      <c r="A90" s="408"/>
      <c r="B90" s="2837">
        <v>2</v>
      </c>
      <c r="C90" s="2837">
        <v>1</v>
      </c>
      <c r="D90" s="2840">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838"/>
      <c r="C91" s="2839"/>
      <c r="D91" s="2841"/>
      <c r="E91" s="710"/>
      <c r="F91" s="1473" t="s">
        <v>289</v>
      </c>
      <c r="G91" s="1474">
        <v>5</v>
      </c>
      <c r="H91" s="1475">
        <v>0.35</v>
      </c>
      <c r="I91" s="1309"/>
      <c r="J91" s="1476">
        <f>$L$32*H91*$B$90*$C$90</f>
        <v>480.57165500298413</v>
      </c>
      <c r="K91" s="1477">
        <f>$M$32*H91*$B$90*$C$90</f>
        <v>40.047637916915342</v>
      </c>
      <c r="L91" s="1476">
        <f>J91*$D$90</f>
        <v>576.68598600358098</v>
      </c>
      <c r="M91" s="1477">
        <f>K91*$D$90</f>
        <v>48.05716550029841</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838"/>
      <c r="C92" s="2839"/>
      <c r="D92" s="2841"/>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838"/>
      <c r="C93" s="2839"/>
      <c r="D93" s="2841"/>
      <c r="E93" s="710"/>
      <c r="F93" s="1473">
        <f>G91</f>
        <v>5</v>
      </c>
      <c r="G93" s="1474">
        <v>30</v>
      </c>
      <c r="H93" s="1475">
        <v>0.05</v>
      </c>
      <c r="I93" s="1309"/>
      <c r="J93" s="1476">
        <f>$L$32*(H91+(G93-F93)*H93)*$B$90*$C$90</f>
        <v>2196.8989942993562</v>
      </c>
      <c r="K93" s="1477">
        <f>$M$32*(H91+(G93-F93)*H93)*$B$90*$C$90</f>
        <v>183.07491619161303</v>
      </c>
      <c r="L93" s="1476">
        <f t="shared" ref="L93:M96" si="5">J93*$D$90</f>
        <v>2636.2787931592275</v>
      </c>
      <c r="M93" s="1477">
        <f t="shared" si="5"/>
        <v>219.68989942993562</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838"/>
      <c r="C94" s="2839"/>
      <c r="D94" s="2841"/>
      <c r="E94" s="710"/>
      <c r="F94" s="1473">
        <f>G93</f>
        <v>30</v>
      </c>
      <c r="G94" s="1474">
        <v>100</v>
      </c>
      <c r="H94" s="1475">
        <v>0.03</v>
      </c>
      <c r="I94" s="1309"/>
      <c r="J94" s="1476">
        <f>$L$32*(H91+(G93-F93)*H93+(G94-F94)*H94)*$B$90*$C$90</f>
        <v>5080.3289243172612</v>
      </c>
      <c r="K94" s="1477">
        <f>$M$32*(H91+(G93-F93)*H93+(G94-F94)*H94)*$B$90*$C$90</f>
        <v>423.36074369310512</v>
      </c>
      <c r="L94" s="1476">
        <f t="shared" si="5"/>
        <v>6096.3947091807131</v>
      </c>
      <c r="M94" s="1477">
        <f t="shared" si="5"/>
        <v>508.03289243172611</v>
      </c>
      <c r="N94" s="408"/>
      <c r="O94" s="715">
        <v>4</v>
      </c>
      <c r="P94" s="417"/>
      <c r="Q94" s="261">
        <f>O94*$Q$76*M94+O94*(1-$Q$76)*K94</f>
        <v>1862.7872722496625</v>
      </c>
      <c r="R94" s="408"/>
      <c r="S94" s="719">
        <f>IF(AND(Q94&lt;&gt;0,O94&lt;&gt;0),Q94/(1+$D$17+$D$18+$D$19)/O94/30/(($D$25*1000000/$D$8))*1000,0)</f>
        <v>18.477095396772764</v>
      </c>
      <c r="T94" s="417" t="s">
        <v>333</v>
      </c>
      <c r="U94" s="699">
        <f>S94*O94*30*$D$11*(1+$D$24)/1000</f>
        <v>348.79358671119599</v>
      </c>
      <c r="V94" s="408" t="s">
        <v>334</v>
      </c>
      <c r="W94" s="699">
        <f>IF(O94&lt;&gt;0,U94/O94,0)</f>
        <v>87.198396677798996</v>
      </c>
      <c r="X94" s="417" t="s">
        <v>334</v>
      </c>
      <c r="Y94" s="240" t="str">
        <f>IF(O94=0,"-",IF(AND(((F94*(1-$Y$89))&lt;W94),(W94&lt;(G94*(1+$Y$89)))),"OK", "NOK"))</f>
        <v>OK</v>
      </c>
      <c r="Z94" s="139"/>
      <c r="AA94" s="227">
        <f>IF(OR(Y94="OK",Y94="-"),1,0)</f>
        <v>1</v>
      </c>
      <c r="AB94" s="423"/>
    </row>
    <row r="95" spans="1:28" s="237" customFormat="1" ht="24" hidden="1" customHeight="1" outlineLevel="1" x14ac:dyDescent="0.25">
      <c r="A95" s="408"/>
      <c r="B95" s="2838"/>
      <c r="C95" s="2839"/>
      <c r="D95" s="2841"/>
      <c r="E95" s="710"/>
      <c r="F95" s="1473">
        <f>G94</f>
        <v>100</v>
      </c>
      <c r="G95" s="1474">
        <v>500</v>
      </c>
      <c r="H95" s="1475">
        <v>0.02</v>
      </c>
      <c r="I95" s="1309"/>
      <c r="J95" s="1476">
        <f>$L$32*(H91+(G93-F93)*H93+(G94-F94)*H94+(G95-F95)*H95)*$B$90*$C$90</f>
        <v>16064.823895814041</v>
      </c>
      <c r="K95" s="1477">
        <f>$M$32*(H91+(G93-F93)*H93+(G94-F94)*H94+(G95-F95)*H95)*$B$90*$C$90</f>
        <v>1338.73532465117</v>
      </c>
      <c r="L95" s="1476">
        <f t="shared" si="5"/>
        <v>19277.788674976848</v>
      </c>
      <c r="M95" s="1477">
        <f t="shared" si="5"/>
        <v>1606.482389581404</v>
      </c>
      <c r="N95" s="408"/>
      <c r="O95" s="715">
        <v>1</v>
      </c>
      <c r="P95" s="417"/>
      <c r="Q95" s="261">
        <f>O95*$Q$76*M95+O95*(1-$Q$76)*K95</f>
        <v>1472.608857116287</v>
      </c>
      <c r="R95" s="408"/>
      <c r="S95" s="719">
        <f>IF(AND(Q95&lt;&gt;0,O95&lt;&gt;0),Q95/(1+$D$17+$D$18+$D$19)/O95/30/(($D$25*1000000/$D$8))*1000,0)</f>
        <v>58.427571930335482</v>
      </c>
      <c r="T95" s="417" t="s">
        <v>333</v>
      </c>
      <c r="U95" s="699">
        <f>S95*O95*30*$D$11*(1+$D$24)/1000</f>
        <v>275.73547057574274</v>
      </c>
      <c r="V95" s="408" t="s">
        <v>334</v>
      </c>
      <c r="W95" s="699">
        <f>IF(O95&lt;&gt;0,U95/O95,0)</f>
        <v>275.73547057574274</v>
      </c>
      <c r="X95" s="417" t="s">
        <v>334</v>
      </c>
      <c r="Y95" s="240" t="str">
        <f>IF(O95=0,"-",IF(AND(((F95*(1-$Y$89))&lt;W95),(W95&lt;(G95*(1+$Y$89)))),"OK", "NOK"))</f>
        <v>OK</v>
      </c>
      <c r="Z95" s="139"/>
      <c r="AA95" s="227">
        <f>IF(OR(Y95="OK",Y95="-"),1,0)</f>
        <v>1</v>
      </c>
      <c r="AB95" s="423"/>
    </row>
    <row r="96" spans="1:28" s="237" customFormat="1" ht="24" hidden="1" customHeight="1" outlineLevel="1" x14ac:dyDescent="0.25">
      <c r="A96" s="408"/>
      <c r="B96" s="2838"/>
      <c r="C96" s="2839"/>
      <c r="D96" s="2841"/>
      <c r="E96" s="710"/>
      <c r="F96" s="1473">
        <f>G95</f>
        <v>500</v>
      </c>
      <c r="G96" s="1474">
        <v>1000</v>
      </c>
      <c r="H96" s="1475">
        <v>0.01</v>
      </c>
      <c r="I96" s="1309"/>
      <c r="J96" s="1476">
        <f>$L$32*(H91+(G93-F93)*H93+(G94-F94)*H94+(G95-F95)*H95+(G96-F96)*H96)*$B$90*$C$90</f>
        <v>22930.133252999527</v>
      </c>
      <c r="K96" s="1477">
        <f>$M$32*(H91+(G93-F93)*H93+(G94-F94)*H94+(G95-F95)*H95+(G96-F96)*H96)*$B$90*$C$90</f>
        <v>1910.8444377499607</v>
      </c>
      <c r="L96" s="1476">
        <f t="shared" si="5"/>
        <v>27516.159903599433</v>
      </c>
      <c r="M96" s="1477">
        <f t="shared" si="5"/>
        <v>2293.0133252999526</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1004</v>
      </c>
      <c r="R1" s="62"/>
    </row>
    <row r="2" spans="1:20" s="192" customFormat="1" ht="25.15" customHeight="1" x14ac:dyDescent="0.25">
      <c r="B2" s="2890" t="s">
        <v>777</v>
      </c>
      <c r="C2" s="2890"/>
      <c r="D2" s="2890"/>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890"/>
      <c r="C3" s="2890"/>
      <c r="D3" s="2890"/>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890"/>
      <c r="C4" s="2890"/>
      <c r="D4" s="2890"/>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2" t="s">
        <v>778</v>
      </c>
      <c r="C6" s="1693" t="s">
        <v>1006</v>
      </c>
      <c r="D6" s="1724" t="s">
        <v>1005</v>
      </c>
      <c r="E6" s="1277"/>
      <c r="F6" s="2887" t="s">
        <v>340</v>
      </c>
      <c r="G6" s="2888"/>
      <c r="H6" s="2889"/>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0" t="s">
        <v>610</v>
      </c>
      <c r="C7" s="1694" t="s">
        <v>240</v>
      </c>
      <c r="D7" s="1725" t="s">
        <v>240</v>
      </c>
      <c r="E7" s="1283" t="s">
        <v>194</v>
      </c>
      <c r="F7" s="1400"/>
      <c r="G7" s="1401" t="s">
        <v>341</v>
      </c>
      <c r="H7" s="1729"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326.42819968835784</v>
      </c>
      <c r="H8" s="1712">
        <f>SUMIF(C33:BC33,1,C178:BC178)</f>
        <v>246.24426152267753</v>
      </c>
      <c r="I8" s="268"/>
      <c r="J8" s="268"/>
      <c r="K8" s="268"/>
      <c r="L8" s="268"/>
      <c r="M8" s="268"/>
      <c r="N8" s="268"/>
      <c r="O8" s="268"/>
      <c r="P8" s="268"/>
      <c r="Q8" s="268"/>
      <c r="R8" s="268"/>
      <c r="S8" s="270"/>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3.538361360882547E-2</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5.5470389944018317E-2</v>
      </c>
      <c r="I9" s="271"/>
      <c r="J9" s="271"/>
      <c r="K9" s="268"/>
      <c r="L9" s="268"/>
      <c r="M9" s="268"/>
      <c r="N9" s="268"/>
      <c r="O9" s="268"/>
      <c r="P9" s="268"/>
      <c r="Q9" s="268"/>
      <c r="R9" s="268"/>
      <c r="S9" s="270"/>
      <c r="T9" s="268"/>
    </row>
    <row r="10" spans="1:20" s="192" customFormat="1" ht="17.649999999999999" customHeight="1" outlineLevel="1" x14ac:dyDescent="0.25">
      <c r="B10" s="1671" t="s">
        <v>912</v>
      </c>
      <c r="C10" s="1697">
        <v>0.05</v>
      </c>
      <c r="D10" s="1679">
        <f>C10</f>
        <v>0.05</v>
      </c>
      <c r="E10" s="192" t="s">
        <v>194</v>
      </c>
      <c r="F10" s="1713" t="s">
        <v>346</v>
      </c>
      <c r="G10" s="1714">
        <f>G9-C28</f>
        <v>-6.201638639117453E-2</v>
      </c>
      <c r="H10" s="1715">
        <f>H9-C28</f>
        <v>-4.1929610055981684E-2</v>
      </c>
      <c r="I10" s="268"/>
      <c r="J10" s="273"/>
      <c r="K10" s="268"/>
      <c r="L10" s="268"/>
      <c r="M10" s="268"/>
      <c r="N10" s="268"/>
      <c r="O10" s="268"/>
      <c r="P10" s="268"/>
      <c r="Q10" s="268"/>
      <c r="R10" s="268"/>
      <c r="S10" s="270"/>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701.05336394955123</v>
      </c>
      <c r="H11" s="1717">
        <f>SUMIF(C33:BC33,1,C63:BC63)</f>
        <v>701.05336394955123</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2" t="s">
        <v>779</v>
      </c>
      <c r="C12" s="1698" t="s">
        <v>1006</v>
      </c>
      <c r="D12" s="1726" t="s">
        <v>1005</v>
      </c>
      <c r="F12" s="1713" t="s">
        <v>348</v>
      </c>
      <c r="G12" s="1714">
        <f>G8/G11</f>
        <v>0.46562532394017309</v>
      </c>
      <c r="H12" s="1715">
        <f>H8/H11</f>
        <v>0.35124895505158377</v>
      </c>
      <c r="I12" s="273"/>
      <c r="J12" s="273"/>
      <c r="K12" s="268"/>
      <c r="L12" s="268"/>
      <c r="M12" s="268"/>
      <c r="N12" s="268"/>
      <c r="O12" s="268"/>
      <c r="P12" s="268"/>
      <c r="Q12" s="268"/>
      <c r="R12" s="268"/>
      <c r="S12" s="270"/>
      <c r="T12" s="268"/>
    </row>
    <row r="13" spans="1:20" s="192" customFormat="1" ht="17.649999999999999" customHeight="1" outlineLevel="1" x14ac:dyDescent="0.25">
      <c r="B13" s="1673" t="s">
        <v>447</v>
      </c>
      <c r="C13" s="1699" t="s">
        <v>240</v>
      </c>
      <c r="D13" s="1725" t="s">
        <v>240</v>
      </c>
      <c r="F13" s="1718" t="s">
        <v>349</v>
      </c>
      <c r="G13" s="1719">
        <f>IF(G8&lt;0,SUM(C164:BC164),SUM(C164:BC164))</f>
        <v>22.212450644521052</v>
      </c>
      <c r="H13" s="1720">
        <f>IF(H8&lt;0,SUM(C183:BC183),SUM(C183:BC183))</f>
        <v>27.381018597335139</v>
      </c>
      <c r="I13" s="271"/>
      <c r="J13" s="271"/>
      <c r="K13" s="268"/>
      <c r="L13" s="268"/>
      <c r="M13" s="268"/>
      <c r="N13" s="268"/>
      <c r="O13" s="268"/>
      <c r="P13" s="268"/>
      <c r="Q13" s="268"/>
      <c r="R13" s="268"/>
      <c r="S13" s="270"/>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1.4656253239401729</v>
      </c>
      <c r="H14" s="1723">
        <f>(SUMIF(C33:BC33,1,C178:BC178)+SUMIF(C33:BC33,1,C63:BC63))/SUMIF(C33:BC33,1,C63:BC63)</f>
        <v>1.3512489550515838</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1"/>
      <c r="D15" s="1680"/>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4" t="s">
        <v>709</v>
      </c>
      <c r="C16" s="1746">
        <v>0.125</v>
      </c>
      <c r="D16" s="1747">
        <v>0.125</v>
      </c>
      <c r="E16" s="192" t="s">
        <v>350</v>
      </c>
      <c r="F16" s="2901" t="s">
        <v>780</v>
      </c>
      <c r="G16" s="1733" t="s">
        <v>261</v>
      </c>
      <c r="H16" s="1727" t="s">
        <v>351</v>
      </c>
      <c r="I16" s="1684"/>
      <c r="J16" s="1683"/>
      <c r="K16" s="1288"/>
      <c r="L16" s="1288"/>
      <c r="M16" s="1288"/>
      <c r="N16" s="1288"/>
      <c r="O16" s="1288"/>
      <c r="P16" s="1288"/>
      <c r="Q16" s="1288"/>
      <c r="R16" s="1288"/>
      <c r="S16" s="1289"/>
      <c r="T16" s="1288"/>
    </row>
    <row r="17" spans="1:58" s="192" customFormat="1" ht="17.649999999999999" customHeight="1" outlineLevel="1" thickTop="1" x14ac:dyDescent="0.25">
      <c r="B17" s="1675" t="s">
        <v>782</v>
      </c>
      <c r="C17" s="1702" t="s">
        <v>240</v>
      </c>
      <c r="D17" s="1727" t="s">
        <v>240</v>
      </c>
      <c r="E17" s="1287"/>
      <c r="F17" s="2902"/>
      <c r="G17" s="2905" t="s">
        <v>781</v>
      </c>
      <c r="H17" s="2907"/>
      <c r="I17" s="1685"/>
      <c r="J17" s="1686"/>
      <c r="K17" s="268"/>
      <c r="L17" s="268"/>
      <c r="M17" s="268"/>
      <c r="N17" s="268"/>
      <c r="O17" s="268"/>
      <c r="P17" s="268"/>
      <c r="Q17" s="268"/>
      <c r="R17" s="268"/>
      <c r="S17" s="270"/>
      <c r="T17" s="268"/>
    </row>
    <row r="18" spans="1:58" s="192" customFormat="1" ht="17.649999999999999" customHeight="1" outlineLevel="1" x14ac:dyDescent="0.25">
      <c r="B18" s="1671" t="s">
        <v>614</v>
      </c>
      <c r="C18" s="1703">
        <f>1-C14</f>
        <v>0.30000000000000004</v>
      </c>
      <c r="D18" s="1828">
        <f>1-D14</f>
        <v>0.7</v>
      </c>
      <c r="E18" s="192" t="s">
        <v>194</v>
      </c>
      <c r="F18" s="2902"/>
      <c r="G18" s="2906"/>
      <c r="H18" s="2908"/>
      <c r="I18" s="1689"/>
      <c r="J18" s="1264"/>
      <c r="K18" s="268"/>
      <c r="L18" s="268"/>
      <c r="M18" s="268"/>
      <c r="N18" s="268"/>
      <c r="O18" s="268"/>
      <c r="P18" s="268"/>
      <c r="Q18" s="268"/>
      <c r="R18" s="268"/>
      <c r="S18" s="270"/>
    </row>
    <row r="19" spans="1:58" s="192" customFormat="1" ht="2.65" customHeight="1" outlineLevel="1" x14ac:dyDescent="0.25">
      <c r="B19" s="1274"/>
      <c r="C19" s="1701"/>
      <c r="D19" s="1680"/>
      <c r="F19" s="2902"/>
      <c r="G19" s="1669"/>
      <c r="H19" s="1730"/>
      <c r="I19" s="1690"/>
      <c r="J19" s="268"/>
      <c r="K19" s="268"/>
      <c r="L19" s="268"/>
      <c r="M19" s="268"/>
      <c r="N19" s="268"/>
      <c r="O19" s="268"/>
      <c r="P19" s="268"/>
      <c r="Q19" s="268"/>
      <c r="R19" s="268"/>
      <c r="S19" s="270"/>
    </row>
    <row r="20" spans="1:58" s="192" customFormat="1" ht="17.649999999999999" customHeight="1" outlineLevel="1" x14ac:dyDescent="0.25">
      <c r="B20" s="1671" t="s">
        <v>710</v>
      </c>
      <c r="C20" s="1744" t="s">
        <v>1009</v>
      </c>
      <c r="D20" s="1745" t="s">
        <v>1009</v>
      </c>
      <c r="F20" s="2902"/>
      <c r="G20" s="1268">
        <v>0.05</v>
      </c>
      <c r="H20" s="1269">
        <v>4.3499999999999997E-2</v>
      </c>
      <c r="I20" s="1687"/>
      <c r="J20" s="1264"/>
      <c r="K20" s="268"/>
      <c r="L20" s="268"/>
      <c r="M20" s="268"/>
      <c r="N20" s="268"/>
      <c r="O20" s="268"/>
      <c r="P20" s="268"/>
      <c r="Q20" s="268"/>
      <c r="R20" s="268"/>
      <c r="S20" s="270"/>
      <c r="T20" s="268"/>
    </row>
    <row r="21" spans="1:58" s="192" customFormat="1" ht="17.649999999999999" customHeight="1" outlineLevel="1" x14ac:dyDescent="0.25">
      <c r="B21" s="1671" t="s">
        <v>615</v>
      </c>
      <c r="C21" s="1704">
        <v>0.05</v>
      </c>
      <c r="D21" s="1826">
        <v>0.05</v>
      </c>
      <c r="E21" s="192" t="s">
        <v>350</v>
      </c>
      <c r="F21" s="2902"/>
      <c r="G21" s="1270">
        <v>20</v>
      </c>
      <c r="H21" s="1271">
        <v>20</v>
      </c>
      <c r="I21" s="1688"/>
      <c r="J21" s="1264"/>
      <c r="K21" s="268"/>
      <c r="L21" s="268"/>
      <c r="M21" s="268"/>
      <c r="N21" s="268"/>
      <c r="O21" s="268"/>
      <c r="P21" s="268"/>
      <c r="Q21" s="268"/>
      <c r="R21" s="268"/>
      <c r="S21" s="270"/>
      <c r="T21" s="268"/>
    </row>
    <row r="22" spans="1:58" s="192" customFormat="1" ht="17.649999999999999" customHeight="1" outlineLevel="1" x14ac:dyDescent="0.25">
      <c r="B22" s="1691" t="s">
        <v>616</v>
      </c>
      <c r="C22" s="1705">
        <v>20</v>
      </c>
      <c r="D22" s="1827">
        <v>20</v>
      </c>
      <c r="E22" s="192" t="s">
        <v>339</v>
      </c>
      <c r="F22" s="2902"/>
      <c r="G22" s="1270">
        <v>2</v>
      </c>
      <c r="H22" s="1271">
        <v>2</v>
      </c>
      <c r="I22" s="1688"/>
      <c r="J22" s="1264"/>
      <c r="K22" s="268"/>
      <c r="L22" s="268"/>
      <c r="M22" s="268"/>
      <c r="N22" s="268"/>
      <c r="O22" s="268"/>
      <c r="P22" s="268"/>
      <c r="Q22" s="268"/>
      <c r="R22" s="268"/>
      <c r="S22" s="270"/>
      <c r="T22" s="268"/>
    </row>
    <row r="23" spans="1:58" s="192" customFormat="1" ht="17.649999999999999" customHeight="1" outlineLevel="1" thickBot="1" x14ac:dyDescent="0.3">
      <c r="B23" s="1691" t="s">
        <v>617</v>
      </c>
      <c r="C23" s="1705">
        <v>2</v>
      </c>
      <c r="D23" s="1827">
        <v>2</v>
      </c>
      <c r="E23" s="192" t="s">
        <v>339</v>
      </c>
      <c r="F23" s="2903"/>
      <c r="G23" s="1272">
        <v>4.3499999999999997E-2</v>
      </c>
      <c r="H23" s="1273">
        <v>4.3499999999999997E-2</v>
      </c>
      <c r="I23" s="1687"/>
      <c r="J23" s="1264"/>
      <c r="K23" s="268"/>
      <c r="L23" s="268"/>
      <c r="M23" s="268"/>
      <c r="N23" s="268"/>
      <c r="O23" s="268"/>
      <c r="P23" s="268"/>
      <c r="Q23" s="268"/>
      <c r="R23" s="268"/>
      <c r="S23" s="270"/>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904" t="s">
        <v>1007</v>
      </c>
      <c r="G26" s="2896"/>
      <c r="H26" s="1265">
        <f>'R&amp;C-Painel de Controle'!D33</f>
        <v>674.41757322989974</v>
      </c>
      <c r="I26" s="1395" t="s">
        <v>246</v>
      </c>
      <c r="J26" s="1394"/>
      <c r="K26" s="2895" t="s">
        <v>604</v>
      </c>
      <c r="L26" s="2896"/>
      <c r="M26" s="1266">
        <f>G8</f>
        <v>326.42819968835784</v>
      </c>
      <c r="N26" s="1395" t="s">
        <v>255</v>
      </c>
      <c r="O26" s="2885" t="s">
        <v>605</v>
      </c>
      <c r="P26" s="2885"/>
      <c r="Q26" s="2886"/>
      <c r="R26" s="1267">
        <f>G14</f>
        <v>1.4656253239401729</v>
      </c>
      <c r="S26" s="1397" t="s">
        <v>194</v>
      </c>
      <c r="T26" s="268"/>
    </row>
    <row r="27" spans="1:58" s="192" customFormat="1" ht="19.899999999999999" customHeight="1" outlineLevel="1" thickTop="1" x14ac:dyDescent="0.25">
      <c r="B27" s="1672" t="s">
        <v>352</v>
      </c>
      <c r="C27" s="1708" t="s">
        <v>240</v>
      </c>
      <c r="D27" s="1728" t="s">
        <v>240</v>
      </c>
      <c r="F27" s="2900" t="s">
        <v>606</v>
      </c>
      <c r="G27" s="2898"/>
      <c r="H27" s="735">
        <f>'R&amp;C-Painel de Controle'!D32</f>
        <v>35</v>
      </c>
      <c r="I27" s="1396" t="s">
        <v>339</v>
      </c>
      <c r="J27" s="1274"/>
      <c r="K27" s="2897" t="s">
        <v>607</v>
      </c>
      <c r="L27" s="2898"/>
      <c r="M27" s="736">
        <f>G9</f>
        <v>3.538361360882547E-2</v>
      </c>
      <c r="N27" s="1396" t="s">
        <v>194</v>
      </c>
      <c r="O27" s="1274"/>
      <c r="P27" s="1398"/>
      <c r="Q27" s="749"/>
      <c r="R27" s="749"/>
      <c r="S27" s="1399"/>
      <c r="T27" s="268"/>
    </row>
    <row r="28" spans="1:58" s="192" customFormat="1" ht="18" customHeight="1" outlineLevel="1" thickBot="1" x14ac:dyDescent="0.3">
      <c r="B28" s="1676" t="s">
        <v>619</v>
      </c>
      <c r="C28" s="1709">
        <f>C14*C16+C18*C21*(1-(C25+C26))</f>
        <v>9.74E-2</v>
      </c>
      <c r="D28" s="1681">
        <f>D14*D16+D18*D21*(1-(D25+D26))</f>
        <v>6.0600000000000001E-2</v>
      </c>
      <c r="E28" s="192" t="s">
        <v>350</v>
      </c>
      <c r="F28" s="2891" t="s">
        <v>608</v>
      </c>
      <c r="G28" s="2892"/>
      <c r="H28" s="1734">
        <f>H26*('R&amp;C-Painel de Controle'!D7*30/'R&amp;C-Painel de Controle'!D6)</f>
        <v>23.002561152414899</v>
      </c>
      <c r="I28" s="1735" t="s">
        <v>250</v>
      </c>
      <c r="J28" s="1274"/>
      <c r="K28" s="2899" t="s">
        <v>609</v>
      </c>
      <c r="L28" s="2892"/>
      <c r="M28" s="1736">
        <f>G13</f>
        <v>22.212450644521052</v>
      </c>
      <c r="N28" s="1396" t="s">
        <v>339</v>
      </c>
      <c r="O28" s="1274"/>
      <c r="P28" s="1274"/>
      <c r="Q28" s="1274"/>
      <c r="R28" s="1274"/>
      <c r="S28" s="1399"/>
      <c r="T28" s="268"/>
    </row>
    <row r="29" spans="1:58" s="192" customFormat="1" ht="18" customHeight="1" outlineLevel="1" thickTop="1" thickBot="1" x14ac:dyDescent="0.3">
      <c r="B29" s="290"/>
      <c r="F29" s="2893" t="s">
        <v>1008</v>
      </c>
      <c r="G29" s="2894"/>
      <c r="H29" s="1737">
        <f>'R&amp;C-Painel de Controle'!H33</f>
        <v>712.33459778080703</v>
      </c>
      <c r="I29" s="1738" t="s">
        <v>246</v>
      </c>
      <c r="J29" s="1739"/>
      <c r="K29" s="1739"/>
      <c r="L29" s="1739"/>
      <c r="M29" s="1739"/>
      <c r="N29" s="1739"/>
      <c r="O29" s="1739"/>
      <c r="P29" s="1739"/>
      <c r="Q29" s="1739"/>
      <c r="R29" s="1739"/>
      <c r="S29" s="1740"/>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18308.493589743593</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18394.543509615389</v>
      </c>
      <c r="G42" s="299">
        <f t="shared" si="10"/>
        <v>18394.543509615389</v>
      </c>
      <c r="H42" s="299">
        <f t="shared" si="10"/>
        <v>18394.543509615389</v>
      </c>
      <c r="I42" s="299">
        <f t="shared" si="10"/>
        <v>18394.543509615389</v>
      </c>
      <c r="J42" s="299">
        <f t="shared" si="10"/>
        <v>18394.543509615389</v>
      </c>
      <c r="K42" s="299">
        <f t="shared" si="10"/>
        <v>18394.543509615389</v>
      </c>
      <c r="L42" s="299">
        <f t="shared" si="10"/>
        <v>18394.543509615389</v>
      </c>
      <c r="M42" s="299">
        <f t="shared" si="10"/>
        <v>18394.543509615389</v>
      </c>
      <c r="N42" s="299">
        <f t="shared" si="10"/>
        <v>18394.543509615389</v>
      </c>
      <c r="O42" s="299">
        <f t="shared" si="10"/>
        <v>18394.543509615389</v>
      </c>
      <c r="P42" s="299">
        <f t="shared" si="10"/>
        <v>18394.543509615389</v>
      </c>
      <c r="Q42" s="299">
        <f t="shared" si="10"/>
        <v>18394.543509615389</v>
      </c>
      <c r="R42" s="299">
        <f t="shared" ref="R42:BC42" si="11">Q42*(1+$C$8)</f>
        <v>18480.997864110581</v>
      </c>
      <c r="S42" s="299">
        <f t="shared" si="11"/>
        <v>18567.8585540719</v>
      </c>
      <c r="T42" s="299">
        <f t="shared" si="11"/>
        <v>18655.127489276038</v>
      </c>
      <c r="U42" s="299">
        <f t="shared" si="11"/>
        <v>18742.806588475632</v>
      </c>
      <c r="V42" s="299">
        <f t="shared" si="11"/>
        <v>18830.897779441468</v>
      </c>
      <c r="W42" s="299">
        <f t="shared" si="11"/>
        <v>18919.40299900484</v>
      </c>
      <c r="X42" s="299">
        <f t="shared" si="11"/>
        <v>19008.324193100161</v>
      </c>
      <c r="Y42" s="299">
        <f t="shared" si="11"/>
        <v>19097.663316807731</v>
      </c>
      <c r="Z42" s="299">
        <f t="shared" si="11"/>
        <v>19187.422334396728</v>
      </c>
      <c r="AA42" s="299">
        <f t="shared" si="11"/>
        <v>19277.60321936839</v>
      </c>
      <c r="AB42" s="299">
        <f t="shared" si="11"/>
        <v>19368.207954499419</v>
      </c>
      <c r="AC42" s="299">
        <f t="shared" si="11"/>
        <v>19459.238531885567</v>
      </c>
      <c r="AD42" s="299">
        <f t="shared" si="11"/>
        <v>19550.696952985429</v>
      </c>
      <c r="AE42" s="299">
        <f t="shared" si="11"/>
        <v>19642.585228664459</v>
      </c>
      <c r="AF42" s="299">
        <f t="shared" si="11"/>
        <v>19734.905379239179</v>
      </c>
      <c r="AG42" s="299">
        <f t="shared" si="11"/>
        <v>19827.6594345216</v>
      </c>
      <c r="AH42" s="299">
        <f t="shared" si="11"/>
        <v>19920.849433863848</v>
      </c>
      <c r="AI42" s="299">
        <f t="shared" si="11"/>
        <v>20014.477426203008</v>
      </c>
      <c r="AJ42" s="299">
        <f t="shared" si="11"/>
        <v>20108.545470106161</v>
      </c>
      <c r="AK42" s="299">
        <f t="shared" si="11"/>
        <v>20203.055633815657</v>
      </c>
      <c r="AL42" s="299">
        <f t="shared" si="11"/>
        <v>20298.009995294589</v>
      </c>
      <c r="AM42" s="299">
        <f t="shared" si="11"/>
        <v>20393.410642272473</v>
      </c>
      <c r="AN42" s="299">
        <f t="shared" si="11"/>
        <v>20489.259672291151</v>
      </c>
      <c r="AO42" s="299">
        <f t="shared" si="11"/>
        <v>20585.559192750919</v>
      </c>
      <c r="AP42" s="299">
        <f t="shared" si="11"/>
        <v>20682.311320956847</v>
      </c>
      <c r="AQ42" s="299">
        <f t="shared" si="11"/>
        <v>20779.518184165343</v>
      </c>
      <c r="AR42" s="299">
        <f t="shared" si="11"/>
        <v>20877.181919630919</v>
      </c>
      <c r="AS42" s="299">
        <f t="shared" si="11"/>
        <v>20975.304674653184</v>
      </c>
      <c r="AT42" s="299">
        <f t="shared" si="11"/>
        <v>21073.888606624052</v>
      </c>
      <c r="AU42" s="299">
        <f t="shared" si="11"/>
        <v>21172.935883075184</v>
      </c>
      <c r="AV42" s="299">
        <f t="shared" si="11"/>
        <v>21272.448681725637</v>
      </c>
      <c r="AW42" s="299">
        <f t="shared" si="11"/>
        <v>21372.429190529747</v>
      </c>
      <c r="AX42" s="299">
        <f t="shared" si="11"/>
        <v>21472.879607725234</v>
      </c>
      <c r="AY42" s="299">
        <f t="shared" si="11"/>
        <v>21573.802141881541</v>
      </c>
      <c r="AZ42" s="299">
        <f t="shared" si="11"/>
        <v>21675.199011948382</v>
      </c>
      <c r="BA42" s="299">
        <f t="shared" si="11"/>
        <v>21777.072447304537</v>
      </c>
      <c r="BB42" s="299">
        <f t="shared" si="11"/>
        <v>21879.424687806866</v>
      </c>
      <c r="BC42" s="299">
        <f t="shared" si="11"/>
        <v>21982.257983839558</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Sim</v>
      </c>
      <c r="D55" s="291">
        <f>'R&amp;C-Painel de Controle'!H70</f>
        <v>145153.85659054489</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145836.07971652044</v>
      </c>
      <c r="G57" s="299">
        <f t="shared" si="25"/>
        <v>145836.07971652044</v>
      </c>
      <c r="H57" s="299">
        <f t="shared" si="25"/>
        <v>145836.07971652044</v>
      </c>
      <c r="I57" s="299">
        <f t="shared" si="25"/>
        <v>145836.07971652044</v>
      </c>
      <c r="J57" s="299">
        <f t="shared" si="25"/>
        <v>145836.07971652044</v>
      </c>
      <c r="K57" s="299">
        <f t="shared" si="25"/>
        <v>145836.07971652044</v>
      </c>
      <c r="L57" s="299">
        <f t="shared" si="25"/>
        <v>145836.07971652044</v>
      </c>
      <c r="M57" s="299">
        <f t="shared" si="25"/>
        <v>145836.07971652044</v>
      </c>
      <c r="N57" s="299">
        <f t="shared" si="25"/>
        <v>145836.07971652044</v>
      </c>
      <c r="O57" s="299">
        <f t="shared" si="25"/>
        <v>145836.07971652044</v>
      </c>
      <c r="P57" s="299">
        <f t="shared" si="25"/>
        <v>145836.07971652044</v>
      </c>
      <c r="Q57" s="299">
        <f t="shared" si="25"/>
        <v>145836.07971652044</v>
      </c>
      <c r="R57" s="299">
        <f t="shared" ref="R57:BC57" si="26">Q57*(1+$C$8)</f>
        <v>146521.50929118806</v>
      </c>
      <c r="S57" s="299">
        <f t="shared" si="26"/>
        <v>147210.16038485663</v>
      </c>
      <c r="T57" s="299">
        <f t="shared" si="26"/>
        <v>147902.04813866544</v>
      </c>
      <c r="U57" s="299">
        <f t="shared" si="26"/>
        <v>148597.18776491715</v>
      </c>
      <c r="V57" s="299">
        <f t="shared" si="26"/>
        <v>149295.59454741224</v>
      </c>
      <c r="W57" s="299">
        <f t="shared" si="26"/>
        <v>149997.28384178507</v>
      </c>
      <c r="X57" s="299">
        <f t="shared" si="26"/>
        <v>150702.27107584145</v>
      </c>
      <c r="Y57" s="299">
        <f t="shared" si="26"/>
        <v>151410.57174989788</v>
      </c>
      <c r="Z57" s="299">
        <f t="shared" si="26"/>
        <v>152122.20143712239</v>
      </c>
      <c r="AA57" s="299">
        <f t="shared" si="26"/>
        <v>152837.17578387685</v>
      </c>
      <c r="AB57" s="299">
        <f t="shared" si="26"/>
        <v>153555.51051006105</v>
      </c>
      <c r="AC57" s="299">
        <f t="shared" si="26"/>
        <v>154277.22140945832</v>
      </c>
      <c r="AD57" s="299">
        <f t="shared" si="26"/>
        <v>155002.32435008275</v>
      </c>
      <c r="AE57" s="299">
        <f t="shared" si="26"/>
        <v>155730.83527452813</v>
      </c>
      <c r="AF57" s="299">
        <f t="shared" si="26"/>
        <v>156462.77020031839</v>
      </c>
      <c r="AG57" s="299">
        <f t="shared" si="26"/>
        <v>157198.14522025987</v>
      </c>
      <c r="AH57" s="299">
        <f t="shared" si="26"/>
        <v>157936.97650279509</v>
      </c>
      <c r="AI57" s="299">
        <f t="shared" si="26"/>
        <v>158679.28029235822</v>
      </c>
      <c r="AJ57" s="299">
        <f t="shared" si="26"/>
        <v>159425.07290973229</v>
      </c>
      <c r="AK57" s="299">
        <f t="shared" si="26"/>
        <v>160174.37075240802</v>
      </c>
      <c r="AL57" s="299">
        <f t="shared" si="26"/>
        <v>160927.19029494433</v>
      </c>
      <c r="AM57" s="299">
        <f t="shared" si="26"/>
        <v>161683.54808933055</v>
      </c>
      <c r="AN57" s="299">
        <f t="shared" si="26"/>
        <v>162443.46076535041</v>
      </c>
      <c r="AO57" s="299">
        <f t="shared" si="26"/>
        <v>163206.94503094754</v>
      </c>
      <c r="AP57" s="299">
        <f t="shared" si="26"/>
        <v>163974.01767259298</v>
      </c>
      <c r="AQ57" s="299">
        <f t="shared" si="26"/>
        <v>164744.69555565415</v>
      </c>
      <c r="AR57" s="299">
        <f t="shared" si="26"/>
        <v>165518.99562476572</v>
      </c>
      <c r="AS57" s="299">
        <f t="shared" si="26"/>
        <v>166296.93490420212</v>
      </c>
      <c r="AT57" s="299">
        <f t="shared" si="26"/>
        <v>167078.53049825187</v>
      </c>
      <c r="AU57" s="299">
        <f t="shared" si="26"/>
        <v>167863.79959159365</v>
      </c>
      <c r="AV57" s="299">
        <f t="shared" si="26"/>
        <v>168652.75944967414</v>
      </c>
      <c r="AW57" s="299">
        <f t="shared" si="26"/>
        <v>169445.42741908759</v>
      </c>
      <c r="AX57" s="299">
        <f t="shared" si="26"/>
        <v>170241.82092795728</v>
      </c>
      <c r="AY57" s="299">
        <f t="shared" si="26"/>
        <v>171041.95748631866</v>
      </c>
      <c r="AZ57" s="299">
        <f t="shared" si="26"/>
        <v>171845.85468650435</v>
      </c>
      <c r="BA57" s="299">
        <f t="shared" si="26"/>
        <v>172653.53020353091</v>
      </c>
      <c r="BB57" s="299">
        <f t="shared" si="26"/>
        <v>173465.00179548751</v>
      </c>
      <c r="BC57" s="299">
        <f t="shared" si="26"/>
        <v>174280.28730392628</v>
      </c>
      <c r="BD57" s="280"/>
      <c r="BE57" s="280"/>
      <c r="BF57" s="280"/>
    </row>
    <row r="58" spans="1:58" s="192" customFormat="1" ht="18" hidden="1" customHeight="1" outlineLevel="1" x14ac:dyDescent="0.25">
      <c r="B58" s="732" t="str">
        <f>B86</f>
        <v>Aterro Sanitário</v>
      </c>
      <c r="C58" s="291" t="str">
        <f>C86</f>
        <v>Sim</v>
      </c>
      <c r="D58" s="291">
        <f>'R&amp;C-Painel de Controle'!H73</f>
        <v>47810.771318108978</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48035.48194330409</v>
      </c>
      <c r="G60" s="299">
        <f t="shared" si="28"/>
        <v>48035.48194330409</v>
      </c>
      <c r="H60" s="299">
        <f t="shared" si="28"/>
        <v>48035.48194330409</v>
      </c>
      <c r="I60" s="299">
        <f t="shared" si="28"/>
        <v>48035.48194330409</v>
      </c>
      <c r="J60" s="299">
        <f t="shared" si="28"/>
        <v>48035.48194330409</v>
      </c>
      <c r="K60" s="299">
        <f t="shared" si="28"/>
        <v>48035.48194330409</v>
      </c>
      <c r="L60" s="299">
        <f t="shared" si="28"/>
        <v>48035.48194330409</v>
      </c>
      <c r="M60" s="299">
        <f t="shared" si="28"/>
        <v>48035.48194330409</v>
      </c>
      <c r="N60" s="299">
        <f t="shared" si="28"/>
        <v>48035.48194330409</v>
      </c>
      <c r="O60" s="299">
        <f t="shared" si="28"/>
        <v>48035.48194330409</v>
      </c>
      <c r="P60" s="299">
        <f t="shared" si="28"/>
        <v>48035.48194330409</v>
      </c>
      <c r="Q60" s="299">
        <f t="shared" si="28"/>
        <v>48035.48194330409</v>
      </c>
      <c r="R60" s="299">
        <f t="shared" ref="R60:BC60" si="29">Q60*(1+$C$8)</f>
        <v>48261.248708437619</v>
      </c>
      <c r="S60" s="299">
        <f t="shared" si="29"/>
        <v>48488.076577367276</v>
      </c>
      <c r="T60" s="299">
        <f t="shared" si="29"/>
        <v>48715.970537280897</v>
      </c>
      <c r="U60" s="299">
        <f t="shared" si="29"/>
        <v>48944.935598806114</v>
      </c>
      <c r="V60" s="299">
        <f t="shared" si="29"/>
        <v>49174.9767961205</v>
      </c>
      <c r="W60" s="299">
        <f t="shared" si="29"/>
        <v>49406.09918706226</v>
      </c>
      <c r="X60" s="299">
        <f t="shared" si="29"/>
        <v>49638.307853241451</v>
      </c>
      <c r="Y60" s="299">
        <f t="shared" si="29"/>
        <v>49871.607900151685</v>
      </c>
      <c r="Z60" s="299">
        <f t="shared" si="29"/>
        <v>50106.004457282397</v>
      </c>
      <c r="AA60" s="299">
        <f t="shared" si="29"/>
        <v>50341.50267823162</v>
      </c>
      <c r="AB60" s="299">
        <f t="shared" si="29"/>
        <v>50578.107740819301</v>
      </c>
      <c r="AC60" s="299">
        <f t="shared" si="29"/>
        <v>50815.824847201147</v>
      </c>
      <c r="AD60" s="299">
        <f t="shared" si="29"/>
        <v>51054.659223982992</v>
      </c>
      <c r="AE60" s="299">
        <f t="shared" si="29"/>
        <v>51294.616122335705</v>
      </c>
      <c r="AF60" s="299">
        <f t="shared" si="29"/>
        <v>51535.700818110679</v>
      </c>
      <c r="AG60" s="299">
        <f t="shared" si="29"/>
        <v>51777.918611955793</v>
      </c>
      <c r="AH60" s="299">
        <f t="shared" si="29"/>
        <v>52021.274829431983</v>
      </c>
      <c r="AI60" s="299">
        <f t="shared" si="29"/>
        <v>52265.774821130311</v>
      </c>
      <c r="AJ60" s="299">
        <f t="shared" si="29"/>
        <v>52511.423962789617</v>
      </c>
      <c r="AK60" s="299">
        <f t="shared" si="29"/>
        <v>52758.227655414725</v>
      </c>
      <c r="AL60" s="299">
        <f t="shared" si="29"/>
        <v>53006.191325395172</v>
      </c>
      <c r="AM60" s="299">
        <f t="shared" si="29"/>
        <v>53255.320424624522</v>
      </c>
      <c r="AN60" s="299">
        <f t="shared" si="29"/>
        <v>53505.620430620256</v>
      </c>
      <c r="AO60" s="299">
        <f t="shared" si="29"/>
        <v>53757.09684664417</v>
      </c>
      <c r="AP60" s="299">
        <f t="shared" si="29"/>
        <v>54009.755201823391</v>
      </c>
      <c r="AQ60" s="299">
        <f t="shared" si="29"/>
        <v>54263.601051271959</v>
      </c>
      <c r="AR60" s="299">
        <f t="shared" si="29"/>
        <v>54518.639976212929</v>
      </c>
      <c r="AS60" s="299">
        <f t="shared" si="29"/>
        <v>54774.877584101123</v>
      </c>
      <c r="AT60" s="299">
        <f t="shared" si="29"/>
        <v>55032.319508746397</v>
      </c>
      <c r="AU60" s="299">
        <f t="shared" si="29"/>
        <v>55290.971410437502</v>
      </c>
      <c r="AV60" s="299">
        <f t="shared" si="29"/>
        <v>55550.838976066552</v>
      </c>
      <c r="AW60" s="299">
        <f t="shared" si="29"/>
        <v>55811.927919254063</v>
      </c>
      <c r="AX60" s="299">
        <f t="shared" si="29"/>
        <v>56074.243980474552</v>
      </c>
      <c r="AY60" s="299">
        <f t="shared" si="29"/>
        <v>56337.792927182782</v>
      </c>
      <c r="AZ60" s="299">
        <f t="shared" si="29"/>
        <v>56602.580553940534</v>
      </c>
      <c r="BA60" s="299">
        <f t="shared" si="29"/>
        <v>56868.612682544051</v>
      </c>
      <c r="BB60" s="299">
        <f t="shared" si="29"/>
        <v>57135.895162152003</v>
      </c>
      <c r="BC60" s="299">
        <f t="shared" si="29"/>
        <v>57404.433869414112</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164.34109731186339</v>
      </c>
      <c r="D63" s="281">
        <f>((D67+D70+D73+D76+D79+D82+D85+D88+'R&amp;C-Painel de Controle'!I21)+('R&amp;C-Painel de Controle'!$K$77*$H$27/5+'R&amp;C-Painel de Controle'!$K$75*$H$27/20+'R&amp;C-Painel de Controle'!$D$29+'R&amp;C-Painel de Controle'!$D$30)/3*(1+$C$62))</f>
        <v>313.42748258698288</v>
      </c>
      <c r="E63" s="281">
        <f>((E67+E70+E73+E76+E79+E82+E85+E88+'R&amp;C-Painel de Controle'!J21)+('R&amp;C-Painel de Controle'!$K$77*$H$27/5+'R&amp;C-Painel de Controle'!$K$75*$H$27/20+'R&amp;C-Painel de Controle'!$D$29+'R&amp;C-Painel de Controle'!$D$30)/3*(1+$C$62))</f>
        <v>223.28478405070493</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39.635249916293091</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11.890574974887928</v>
      </c>
      <c r="D70" s="299">
        <f>D69*$D$68</f>
        <v>7.9270499832586188</v>
      </c>
      <c r="E70" s="299">
        <f>E69*$D$68</f>
        <v>19.817624958146546</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Sim</v>
      </c>
      <c r="D83" s="302">
        <f>'R&amp;C-Painel de Controle'!K70</f>
        <v>495.48006000690009</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99.096012001380018</v>
      </c>
      <c r="D85" s="300">
        <f t="shared" si="39"/>
        <v>247.74003000345004</v>
      </c>
      <c r="E85" s="298">
        <f t="shared" si="39"/>
        <v>148.64401800207003</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14.686307548929108</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2.9372615097858219</v>
      </c>
      <c r="D88" s="300">
        <f t="shared" si="40"/>
        <v>7.3431537744645539</v>
      </c>
      <c r="E88" s="298">
        <f t="shared" si="40"/>
        <v>4.405892264678732</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53.60034288388281</v>
      </c>
      <c r="G90" s="281">
        <f>IF('R&amp;C-Painel de Controle'!$D$24="Não",G94+G97+G100+G103+G106+G109+G112+G115,G94+G97+G100+G103+G106+G109+G112+G115+'R&amp;C-Painel de Controle'!$L$91)</f>
        <v>53.60034288388281</v>
      </c>
      <c r="H90" s="281">
        <f>IF('R&amp;C-Painel de Controle'!$D$24="Não",H94+H97+H100+H103+H106+H109+H112+H115,H94+H97+H100+H103+H106+H109+H112+H115+'R&amp;C-Painel de Controle'!$L$91)</f>
        <v>53.60034288388281</v>
      </c>
      <c r="I90" s="281">
        <f>IF('R&amp;C-Painel de Controle'!$D$24="Não",I94+I97+I100+I103+I106+I109+I112+I115,I94+I97+I100+I103+I106+I109+I112+I115+'R&amp;C-Painel de Controle'!$L$91)</f>
        <v>53.60034288388281</v>
      </c>
      <c r="J90" s="281">
        <f>IF('R&amp;C-Painel de Controle'!$D$24="Não",J94+J97+J100+J103+J106+J109+J112+J115,J94+J97+J100+J103+J106+J109+J112+J115+'R&amp;C-Painel de Controle'!$L$91)</f>
        <v>53.60034288388281</v>
      </c>
      <c r="K90" s="281">
        <f>IF('R&amp;C-Painel de Controle'!$D$24="Não",K94+K97+K100+K103+K106+K109+K112+K115,K94+K97+K100+K103+K106+K109+K112+K115+'R&amp;C-Painel de Controle'!$L$91)</f>
        <v>53.60034288388281</v>
      </c>
      <c r="L90" s="281">
        <f>IF('R&amp;C-Painel de Controle'!$D$24="Não",L94+L97+L100+L103+L106+L109+L112+L115,L94+L97+L100+L103+L106+L109+L112+L115+'R&amp;C-Painel de Controle'!$L$91)</f>
        <v>53.60034288388281</v>
      </c>
      <c r="M90" s="281">
        <f>IF('R&amp;C-Painel de Controle'!$D$24="Não",M94+M97+M100+M103+M106+M109+M112+M115,M94+M97+M100+M103+M106+M109+M112+M115+'R&amp;C-Painel de Controle'!$L$91)</f>
        <v>53.60034288388281</v>
      </c>
      <c r="N90" s="281">
        <f>IF('R&amp;C-Painel de Controle'!$D$24="Não",N94+N97+N100+N103+N106+N109+N112+N115,N94+N97+N100+N103+N106+N109+N112+N115+'R&amp;C-Painel de Controle'!$L$91)</f>
        <v>53.60034288388281</v>
      </c>
      <c r="O90" s="281">
        <f>IF('R&amp;C-Painel de Controle'!$D$24="Não",O94+O97+O100+O103+O106+O109+O112+O115,O94+O97+O100+O103+O106+O109+O112+O115+'R&amp;C-Painel de Controle'!$L$91)</f>
        <v>53.60034288388281</v>
      </c>
      <c r="P90" s="281">
        <f>IF('R&amp;C-Painel de Controle'!$D$24="Não",P94+P97+P100+P103+P106+P109+P112+P115,P94+P97+P100+P103+P106+P109+P112+P115+'R&amp;C-Painel de Controle'!$L$91)</f>
        <v>53.60034288388281</v>
      </c>
      <c r="Q90" s="281">
        <f>IF('R&amp;C-Painel de Controle'!$D$24="Não",Q94+Q97+Q100+Q103+Q106+Q109+Q112+Q115,Q94+Q97+Q100+Q103+Q106+Q109+Q112+Q115+'R&amp;C-Painel de Controle'!$L$91)</f>
        <v>53.60034288388281</v>
      </c>
      <c r="R90" s="281">
        <f>IF('R&amp;C-Painel de Controle'!$D$24="Não",R94+R97+R100+R103+R106+R109+R112+R115,R94+R97+R100+R103+R106+R109+R112+R115+'R&amp;C-Painel de Controle'!$L$91)</f>
        <v>53.60034288388281</v>
      </c>
      <c r="S90" s="281">
        <f>IF('R&amp;C-Painel de Controle'!$D$24="Não",S94+S97+S100+S103+S106+S109+S112+S115,S94+S97+S100+S103+S106+S109+S112+S115+'R&amp;C-Painel de Controle'!$L$91)</f>
        <v>53.60034288388281</v>
      </c>
      <c r="T90" s="281">
        <f>IF('R&amp;C-Painel de Controle'!$D$24="Não",T94+T97+T100+T103+T106+T109+T112+T115,T94+T97+T100+T103+T106+T109+T112+T115+'R&amp;C-Painel de Controle'!$L$91)</f>
        <v>53.60034288388281</v>
      </c>
      <c r="U90" s="281">
        <f>IF('R&amp;C-Painel de Controle'!$D$24="Não",U94+U97+U100+U103+U106+U109+U112+U115,U94+U97+U100+U103+U106+U109+U112+U115+'R&amp;C-Painel de Controle'!$L$91)</f>
        <v>53.60034288388281</v>
      </c>
      <c r="V90" s="281">
        <f>IF('R&amp;C-Painel de Controle'!$D$24="Não",V94+V97+V100+V103+V106+V109+V112+V115,V94+V97+V100+V103+V106+V109+V112+V115+'R&amp;C-Painel de Controle'!$L$91)</f>
        <v>53.60034288388281</v>
      </c>
      <c r="W90" s="281">
        <f>IF('R&amp;C-Painel de Controle'!$D$24="Não",W94+W97+W100+W103+W106+W109+W112+W115,W94+W97+W100+W103+W106+W109+W112+W115+'R&amp;C-Painel de Controle'!$L$91)</f>
        <v>53.60034288388281</v>
      </c>
      <c r="X90" s="281">
        <f>IF('R&amp;C-Painel de Controle'!$D$24="Não",X94+X97+X100+X103+X106+X109+X112+X115,X94+X97+X100+X103+X106+X109+X112+X115+'R&amp;C-Painel de Controle'!$L$91)</f>
        <v>53.60034288388281</v>
      </c>
      <c r="Y90" s="281">
        <f>IF('R&amp;C-Painel de Controle'!$D$24="Não",Y94+Y97+Y100+Y103+Y106+Y109+Y112+Y115,Y94+Y97+Y100+Y103+Y106+Y109+Y112+Y115+'R&amp;C-Painel de Controle'!$L$91)</f>
        <v>53.60034288388281</v>
      </c>
      <c r="Z90" s="281">
        <f>IF('R&amp;C-Painel de Controle'!$D$24="Não",Z94+Z97+Z100+Z103+Z106+Z109+Z112+Z115,Z94+Z97+Z100+Z103+Z106+Z109+Z112+Z115+'R&amp;C-Painel de Controle'!$L$91)</f>
        <v>53.60034288388281</v>
      </c>
      <c r="AA90" s="281">
        <f>IF('R&amp;C-Painel de Controle'!$D$24="Não",AA94+AA97+AA100+AA103+AA106+AA109+AA112+AA115,AA94+AA97+AA100+AA103+AA106+AA109+AA112+AA115+'R&amp;C-Painel de Controle'!$L$91)</f>
        <v>53.60034288388281</v>
      </c>
      <c r="AB90" s="281">
        <f>IF('R&amp;C-Painel de Controle'!$D$24="Não",AB94+AB97+AB100+AB103+AB106+AB109+AB112+AB115,AB94+AB97+AB100+AB103+AB106+AB109+AB112+AB115+'R&amp;C-Painel de Controle'!$L$91)</f>
        <v>53.60034288388281</v>
      </c>
      <c r="AC90" s="281">
        <f>IF('R&amp;C-Painel de Controle'!$D$24="Não",AC94+AC97+AC100+AC103+AC106+AC109+AC112+AC115,AC94+AC97+AC100+AC103+AC106+AC109+AC112+AC115+'R&amp;C-Painel de Controle'!$L$91)</f>
        <v>53.60034288388281</v>
      </c>
      <c r="AD90" s="281">
        <f>IF('R&amp;C-Painel de Controle'!$D$24="Não",AD94+AD97+AD100+AD103+AD106+AD109+AD112+AD115,AD94+AD97+AD100+AD103+AD106+AD109+AD112+AD115+'R&amp;C-Painel de Controle'!$L$91)</f>
        <v>53.60034288388281</v>
      </c>
      <c r="AE90" s="281">
        <f>IF('R&amp;C-Painel de Controle'!$D$24="Não",AE94+AE97+AE100+AE103+AE106+AE109+AE112+AE115,AE94+AE97+AE100+AE103+AE106+AE109+AE112+AE115+'R&amp;C-Painel de Controle'!$L$91)</f>
        <v>53.60034288388281</v>
      </c>
      <c r="AF90" s="281">
        <f>IF('R&amp;C-Painel de Controle'!$D$24="Não",AF94+AF97+AF100+AF103+AF106+AF109+AF112+AF115,AF94+AF97+AF100+AF103+AF106+AF109+AF112+AF115+'R&amp;C-Painel de Controle'!$L$91)</f>
        <v>53.60034288388281</v>
      </c>
      <c r="AG90" s="281">
        <f>IF('R&amp;C-Painel de Controle'!$D$24="Não",AG94+AG97+AG100+AG103+AG106+AG109+AG112+AG115,AG94+AG97+AG100+AG103+AG106+AG109+AG112+AG115+'R&amp;C-Painel de Controle'!$L$91)</f>
        <v>53.60034288388281</v>
      </c>
      <c r="AH90" s="281">
        <f>IF('R&amp;C-Painel de Controle'!$D$24="Não",AH94+AH97+AH100+AH103+AH106+AH109+AH112+AH115,AH94+AH97+AH100+AH103+AH106+AH109+AH112+AH115+'R&amp;C-Painel de Controle'!$L$91)</f>
        <v>53.60034288388281</v>
      </c>
      <c r="AI90" s="281">
        <f>IF('R&amp;C-Painel de Controle'!$D$24="Não",AI94+AI97+AI100+AI103+AI106+AI109+AI112+AI115,AI94+AI97+AI100+AI103+AI106+AI109+AI112+AI115+'R&amp;C-Painel de Controle'!$L$91)</f>
        <v>53.60034288388281</v>
      </c>
      <c r="AJ90" s="281">
        <f>IF('R&amp;C-Painel de Controle'!$D$24="Não",AJ94+AJ97+AJ100+AJ103+AJ106+AJ109+AJ112+AJ115,AJ94+AJ97+AJ100+AJ103+AJ106+AJ109+AJ112+AJ115+'R&amp;C-Painel de Controle'!$L$91)</f>
        <v>53.60034288388281</v>
      </c>
      <c r="AK90" s="281">
        <f>IF('R&amp;C-Painel de Controle'!$D$24="Não",AK94+AK97+AK100+AK103+AK106+AK109+AK112+AK115,AK94+AK97+AK100+AK103+AK106+AK109+AK112+AK115+'R&amp;C-Painel de Controle'!$L$91)</f>
        <v>53.60034288388281</v>
      </c>
      <c r="AL90" s="281">
        <f>IF('R&amp;C-Painel de Controle'!$D$24="Não",AL94+AL97+AL100+AL103+AL106+AL109+AL112+AL115,AL94+AL97+AL100+AL103+AL106+AL109+AL112+AL115+'R&amp;C-Painel de Controle'!$L$91)</f>
        <v>53.60034288388281</v>
      </c>
      <c r="AM90" s="281">
        <f>IF('R&amp;C-Painel de Controle'!$D$24="Não",AM94+AM97+AM100+AM103+AM106+AM109+AM112+AM115,AM94+AM97+AM100+AM103+AM106+AM109+AM112+AM115+'R&amp;C-Painel de Controle'!$L$91)</f>
        <v>53.60034288388281</v>
      </c>
      <c r="AN90" s="281">
        <f>IF('R&amp;C-Painel de Controle'!$D$24="Não",AN94+AN97+AN100+AN103+AN106+AN109+AN112+AN115,AN94+AN97+AN100+AN103+AN106+AN109+AN112+AN115+'R&amp;C-Painel de Controle'!$L$91)</f>
        <v>53.60034288388281</v>
      </c>
      <c r="AO90" s="281">
        <f>IF('R&amp;C-Painel de Controle'!$D$24="Não",AO94+AO97+AO100+AO103+AO106+AO109+AO112+AO115,AO94+AO97+AO100+AO103+AO106+AO109+AO112+AO115+'R&amp;C-Painel de Controle'!$L$91)</f>
        <v>53.60034288388281</v>
      </c>
      <c r="AP90" s="281">
        <f>IF('R&amp;C-Painel de Controle'!$D$24="Não",AP94+AP97+AP100+AP103+AP106+AP109+AP112+AP115,AP94+AP97+AP100+AP103+AP106+AP109+AP112+AP115+'R&amp;C-Painel de Controle'!$L$91)</f>
        <v>53.60034288388281</v>
      </c>
      <c r="AQ90" s="281">
        <f>IF('R&amp;C-Painel de Controle'!$D$24="Não",AQ94+AQ97+AQ100+AQ103+AQ106+AQ109+AQ112+AQ115,AQ94+AQ97+AQ100+AQ103+AQ106+AQ109+AQ112+AQ115+'R&amp;C-Painel de Controle'!$L$91)</f>
        <v>53.60034288388281</v>
      </c>
      <c r="AR90" s="281">
        <f>IF('R&amp;C-Painel de Controle'!$D$24="Não",AR94+AR97+AR100+AR103+AR106+AR109+AR112+AR115,AR94+AR97+AR100+AR103+AR106+AR109+AR112+AR115+'R&amp;C-Painel de Controle'!$L$91)</f>
        <v>53.60034288388281</v>
      </c>
      <c r="AS90" s="281">
        <f>IF('R&amp;C-Painel de Controle'!$D$24="Não",AS94+AS97+AS100+AS103+AS106+AS109+AS112+AS115,AS94+AS97+AS100+AS103+AS106+AS109+AS112+AS115+'R&amp;C-Painel de Controle'!$L$91)</f>
        <v>53.60034288388281</v>
      </c>
      <c r="AT90" s="281">
        <f>IF('R&amp;C-Painel de Controle'!$D$24="Não",AT94+AT97+AT100+AT103+AT106+AT109+AT112+AT115,AT94+AT97+AT100+AT103+AT106+AT109+AT112+AT115+'R&amp;C-Painel de Controle'!$L$91)</f>
        <v>53.60034288388281</v>
      </c>
      <c r="AU90" s="281">
        <f>IF('R&amp;C-Painel de Controle'!$D$24="Não",AU94+AU97+AU100+AU103+AU106+AU109+AU112+AU115,AU94+AU97+AU100+AU103+AU106+AU109+AU112+AU115+'R&amp;C-Painel de Controle'!$L$91)</f>
        <v>53.60034288388281</v>
      </c>
      <c r="AV90" s="281">
        <f>IF('R&amp;C-Painel de Controle'!$D$24="Não",AV94+AV97+AV100+AV103+AV106+AV109+AV112+AV115,AV94+AV97+AV100+AV103+AV106+AV109+AV112+AV115+'R&amp;C-Painel de Controle'!$L$91)</f>
        <v>53.60034288388281</v>
      </c>
      <c r="AW90" s="281">
        <f>IF('R&amp;C-Painel de Controle'!$D$24="Não",AW94+AW97+AW100+AW103+AW106+AW109+AW112+AW115,AW94+AW97+AW100+AW103+AW106+AW109+AW112+AW115+'R&amp;C-Painel de Controle'!$L$91)</f>
        <v>53.60034288388281</v>
      </c>
      <c r="AX90" s="281">
        <f>IF('R&amp;C-Painel de Controle'!$D$24="Não",AX94+AX97+AX100+AX103+AX106+AX109+AX112+AX115,AX94+AX97+AX100+AX103+AX106+AX109+AX112+AX115+'R&amp;C-Painel de Controle'!$L$91)</f>
        <v>53.60034288388281</v>
      </c>
      <c r="AY90" s="281">
        <f>IF('R&amp;C-Painel de Controle'!$D$24="Não",AY94+AY97+AY100+AY103+AY106+AY109+AY112+AY115,AY94+AY97+AY100+AY103+AY106+AY109+AY112+AY115+'R&amp;C-Painel de Controle'!$L$91)</f>
        <v>53.60034288388281</v>
      </c>
      <c r="AZ90" s="281">
        <f>IF('R&amp;C-Painel de Controle'!$D$24="Não",AZ94+AZ97+AZ100+AZ103+AZ106+AZ109+AZ112+AZ115,AZ94+AZ97+AZ100+AZ103+AZ106+AZ109+AZ112+AZ115+'R&amp;C-Painel de Controle'!$L$91)</f>
        <v>53.60034288388281</v>
      </c>
      <c r="BA90" s="281">
        <f>IF('R&amp;C-Painel de Controle'!$D$24="Não",BA94+BA97+BA100+BA103+BA106+BA109+BA112+BA115,BA94+BA97+BA100+BA103+BA106+BA109+BA112+BA115+'R&amp;C-Painel de Controle'!$L$91)</f>
        <v>53.60034288388281</v>
      </c>
      <c r="BB90" s="281">
        <f>IF('R&amp;C-Painel de Controle'!$D$24="Não",BB94+BB97+BB100+BB103+BB106+BB109+BB112+BB115,BB94+BB97+BB100+BB103+BB106+BB109+BB112+BB115+'R&amp;C-Painel de Controle'!$L$91)</f>
        <v>53.60034288388281</v>
      </c>
      <c r="BC90" s="281">
        <f>IF('R&amp;C-Painel de Controle'!$D$24="Não",BC94+BC97+BC100+BC103+BC106+BC109+BC112+BC115,BC94+BC97+BC100+BC103+BC106+BC109+BC112+BC115+'R&amp;C-Painel de Controle'!$L$91)</f>
        <v>53.60034288388281</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18308.493589743593</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7.7861811252666602</v>
      </c>
      <c r="G97" s="293">
        <f>IF(G42&gt;0,'R&amp;C-Painel de Controle'!$O57+'R&amp;C-Painel de Controle'!$P57*G42/1000000,0)</f>
        <v>7.7861811252666602</v>
      </c>
      <c r="H97" s="293">
        <f>IF(H42&gt;0,'R&amp;C-Painel de Controle'!$O57+'R&amp;C-Painel de Controle'!$P57*H42/1000000,0)</f>
        <v>7.7861811252666602</v>
      </c>
      <c r="I97" s="293">
        <f>IF(I42&gt;0,'R&amp;C-Painel de Controle'!$O57+'R&amp;C-Painel de Controle'!$P57*I42/1000000,0)</f>
        <v>7.7861811252666602</v>
      </c>
      <c r="J97" s="293">
        <f>IF(J42&gt;0,'R&amp;C-Painel de Controle'!$O57+'R&amp;C-Painel de Controle'!$P57*J42/1000000,0)</f>
        <v>7.7861811252666602</v>
      </c>
      <c r="K97" s="293">
        <f>IF(K42&gt;0,'R&amp;C-Painel de Controle'!$O57+'R&amp;C-Painel de Controle'!$P57*K42/1000000,0)</f>
        <v>7.7861811252666602</v>
      </c>
      <c r="L97" s="293">
        <f>IF(L42&gt;0,'R&amp;C-Painel de Controle'!$O57+'R&amp;C-Painel de Controle'!$P57*L42/1000000,0)</f>
        <v>7.7861811252666602</v>
      </c>
      <c r="M97" s="293">
        <f>IF(M42&gt;0,'R&amp;C-Painel de Controle'!$O57+'R&amp;C-Painel de Controle'!$P57*M42/1000000,0)</f>
        <v>7.7861811252666602</v>
      </c>
      <c r="N97" s="293">
        <f>IF(N42&gt;0,'R&amp;C-Painel de Controle'!$O57+'R&amp;C-Painel de Controle'!$P57*N42/1000000,0)</f>
        <v>7.7861811252666602</v>
      </c>
      <c r="O97" s="293">
        <f>IF(O42&gt;0,'R&amp;C-Painel de Controle'!$O57+'R&amp;C-Painel de Controle'!$P57*O42/1000000,0)</f>
        <v>7.7861811252666602</v>
      </c>
      <c r="P97" s="293">
        <f>IF(P42&gt;0,'R&amp;C-Painel de Controle'!$O57+'R&amp;C-Painel de Controle'!$P57*P42/1000000,0)</f>
        <v>7.7861811252666602</v>
      </c>
      <c r="Q97" s="293">
        <f>IF(Q42&gt;0,'R&amp;C-Painel de Controle'!$O57+'R&amp;C-Painel de Controle'!$P57*Q42/1000000,0)</f>
        <v>7.7861811252666602</v>
      </c>
      <c r="R97" s="280">
        <f t="shared" ref="R97:BC97" si="42">Q97</f>
        <v>7.7861811252666602</v>
      </c>
      <c r="S97" s="280">
        <f t="shared" si="42"/>
        <v>7.7861811252666602</v>
      </c>
      <c r="T97" s="280">
        <f t="shared" si="42"/>
        <v>7.7861811252666602</v>
      </c>
      <c r="U97" s="280">
        <f t="shared" si="42"/>
        <v>7.7861811252666602</v>
      </c>
      <c r="V97" s="280">
        <f t="shared" si="42"/>
        <v>7.7861811252666602</v>
      </c>
      <c r="W97" s="280">
        <f t="shared" si="42"/>
        <v>7.7861811252666602</v>
      </c>
      <c r="X97" s="280">
        <f t="shared" si="42"/>
        <v>7.7861811252666602</v>
      </c>
      <c r="Y97" s="280">
        <f t="shared" si="42"/>
        <v>7.7861811252666602</v>
      </c>
      <c r="Z97" s="280">
        <f t="shared" si="42"/>
        <v>7.7861811252666602</v>
      </c>
      <c r="AA97" s="280">
        <f t="shared" si="42"/>
        <v>7.7861811252666602</v>
      </c>
      <c r="AB97" s="280">
        <f t="shared" si="42"/>
        <v>7.7861811252666602</v>
      </c>
      <c r="AC97" s="280">
        <f t="shared" si="42"/>
        <v>7.7861811252666602</v>
      </c>
      <c r="AD97" s="280">
        <f t="shared" si="42"/>
        <v>7.7861811252666602</v>
      </c>
      <c r="AE97" s="280">
        <f t="shared" si="42"/>
        <v>7.7861811252666602</v>
      </c>
      <c r="AF97" s="280">
        <f t="shared" si="42"/>
        <v>7.7861811252666602</v>
      </c>
      <c r="AG97" s="280">
        <f t="shared" si="42"/>
        <v>7.7861811252666602</v>
      </c>
      <c r="AH97" s="280">
        <f t="shared" si="42"/>
        <v>7.7861811252666602</v>
      </c>
      <c r="AI97" s="280">
        <f t="shared" si="42"/>
        <v>7.7861811252666602</v>
      </c>
      <c r="AJ97" s="280">
        <f t="shared" si="42"/>
        <v>7.7861811252666602</v>
      </c>
      <c r="AK97" s="280">
        <f t="shared" si="42"/>
        <v>7.7861811252666602</v>
      </c>
      <c r="AL97" s="280">
        <f t="shared" si="42"/>
        <v>7.7861811252666602</v>
      </c>
      <c r="AM97" s="280">
        <f t="shared" si="42"/>
        <v>7.7861811252666602</v>
      </c>
      <c r="AN97" s="280">
        <f t="shared" si="42"/>
        <v>7.7861811252666602</v>
      </c>
      <c r="AO97" s="280">
        <f t="shared" si="42"/>
        <v>7.7861811252666602</v>
      </c>
      <c r="AP97" s="280">
        <f t="shared" si="42"/>
        <v>7.7861811252666602</v>
      </c>
      <c r="AQ97" s="280">
        <f t="shared" si="42"/>
        <v>7.7861811252666602</v>
      </c>
      <c r="AR97" s="280">
        <f t="shared" si="42"/>
        <v>7.7861811252666602</v>
      </c>
      <c r="AS97" s="280">
        <f t="shared" si="42"/>
        <v>7.7861811252666602</v>
      </c>
      <c r="AT97" s="280">
        <f t="shared" si="42"/>
        <v>7.7861811252666602</v>
      </c>
      <c r="AU97" s="280">
        <f t="shared" si="42"/>
        <v>7.7861811252666602</v>
      </c>
      <c r="AV97" s="280">
        <f t="shared" si="42"/>
        <v>7.7861811252666602</v>
      </c>
      <c r="AW97" s="280">
        <f t="shared" si="42"/>
        <v>7.7861811252666602</v>
      </c>
      <c r="AX97" s="280">
        <f t="shared" si="42"/>
        <v>7.7861811252666602</v>
      </c>
      <c r="AY97" s="280">
        <f t="shared" si="42"/>
        <v>7.7861811252666602</v>
      </c>
      <c r="AZ97" s="280">
        <f t="shared" si="42"/>
        <v>7.7861811252666602</v>
      </c>
      <c r="BA97" s="280">
        <f t="shared" si="42"/>
        <v>7.7861811252666602</v>
      </c>
      <c r="BB97" s="280">
        <f t="shared" si="42"/>
        <v>7.7861811252666602</v>
      </c>
      <c r="BC97" s="280">
        <f t="shared" si="42"/>
        <v>7.7861811252666602</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Sim</v>
      </c>
      <c r="D110" s="291">
        <f>D55</f>
        <v>145153.85659054489</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40.176203483090497</v>
      </c>
      <c r="G112" s="293">
        <f>IF(G57&gt;0,'R&amp;C-Painel de Controle'!$O72+'R&amp;C-Painel de Controle'!$P72*G57/1000000,0)</f>
        <v>40.176203483090497</v>
      </c>
      <c r="H112" s="293">
        <f>IF(H57&gt;0,'R&amp;C-Painel de Controle'!$O72+'R&amp;C-Painel de Controle'!$P72*H57/1000000,0)</f>
        <v>40.176203483090497</v>
      </c>
      <c r="I112" s="293">
        <f>IF(I57&gt;0,'R&amp;C-Painel de Controle'!$O72+'R&amp;C-Painel de Controle'!$P72*I57/1000000,0)</f>
        <v>40.176203483090497</v>
      </c>
      <c r="J112" s="293">
        <f>IF(J57&gt;0,'R&amp;C-Painel de Controle'!$O72+'R&amp;C-Painel de Controle'!$P72*J57/1000000,0)</f>
        <v>40.176203483090497</v>
      </c>
      <c r="K112" s="293">
        <f>IF(K57&gt;0,'R&amp;C-Painel de Controle'!$O72+'R&amp;C-Painel de Controle'!$P72*K57/1000000,0)</f>
        <v>40.176203483090497</v>
      </c>
      <c r="L112" s="293">
        <f>IF(L57&gt;0,'R&amp;C-Painel de Controle'!$O72+'R&amp;C-Painel de Controle'!$P72*L57/1000000,0)</f>
        <v>40.176203483090497</v>
      </c>
      <c r="M112" s="293">
        <f>IF(M57&gt;0,'R&amp;C-Painel de Controle'!$O72+'R&amp;C-Painel de Controle'!$P72*M57/1000000,0)</f>
        <v>40.176203483090497</v>
      </c>
      <c r="N112" s="293">
        <f>IF(N57&gt;0,'R&amp;C-Painel de Controle'!$O72+'R&amp;C-Painel de Controle'!$P72*N57/1000000,0)</f>
        <v>40.176203483090497</v>
      </c>
      <c r="O112" s="293">
        <f>IF(O57&gt;0,'R&amp;C-Painel de Controle'!$O72+'R&amp;C-Painel de Controle'!$P72*O57/1000000,0)</f>
        <v>40.176203483090497</v>
      </c>
      <c r="P112" s="293">
        <f>IF(P57&gt;0,'R&amp;C-Painel de Controle'!$O72+'R&amp;C-Painel de Controle'!$P72*P57/1000000,0)</f>
        <v>40.176203483090497</v>
      </c>
      <c r="Q112" s="293">
        <f>IF(Q57&gt;0,'R&amp;C-Painel de Controle'!$O72+'R&amp;C-Painel de Controle'!$P72*Q57/1000000,0)</f>
        <v>40.176203483090497</v>
      </c>
      <c r="R112" s="280">
        <f t="shared" ref="R112:BC112" si="47">Q112</f>
        <v>40.176203483090497</v>
      </c>
      <c r="S112" s="280">
        <f t="shared" si="47"/>
        <v>40.176203483090497</v>
      </c>
      <c r="T112" s="280">
        <f t="shared" si="47"/>
        <v>40.176203483090497</v>
      </c>
      <c r="U112" s="280">
        <f t="shared" si="47"/>
        <v>40.176203483090497</v>
      </c>
      <c r="V112" s="280">
        <f t="shared" si="47"/>
        <v>40.176203483090497</v>
      </c>
      <c r="W112" s="280">
        <f t="shared" si="47"/>
        <v>40.176203483090497</v>
      </c>
      <c r="X112" s="280">
        <f t="shared" si="47"/>
        <v>40.176203483090497</v>
      </c>
      <c r="Y112" s="280">
        <f t="shared" si="47"/>
        <v>40.176203483090497</v>
      </c>
      <c r="Z112" s="280">
        <f t="shared" si="47"/>
        <v>40.176203483090497</v>
      </c>
      <c r="AA112" s="280">
        <f t="shared" si="47"/>
        <v>40.176203483090497</v>
      </c>
      <c r="AB112" s="280">
        <f t="shared" si="47"/>
        <v>40.176203483090497</v>
      </c>
      <c r="AC112" s="280">
        <f t="shared" si="47"/>
        <v>40.176203483090497</v>
      </c>
      <c r="AD112" s="280">
        <f t="shared" si="47"/>
        <v>40.176203483090497</v>
      </c>
      <c r="AE112" s="280">
        <f t="shared" si="47"/>
        <v>40.176203483090497</v>
      </c>
      <c r="AF112" s="280">
        <f t="shared" si="47"/>
        <v>40.176203483090497</v>
      </c>
      <c r="AG112" s="280">
        <f t="shared" si="47"/>
        <v>40.176203483090497</v>
      </c>
      <c r="AH112" s="280">
        <f t="shared" si="47"/>
        <v>40.176203483090497</v>
      </c>
      <c r="AI112" s="280">
        <f t="shared" si="47"/>
        <v>40.176203483090497</v>
      </c>
      <c r="AJ112" s="280">
        <f t="shared" si="47"/>
        <v>40.176203483090497</v>
      </c>
      <c r="AK112" s="280">
        <f t="shared" si="47"/>
        <v>40.176203483090497</v>
      </c>
      <c r="AL112" s="280">
        <f t="shared" si="47"/>
        <v>40.176203483090497</v>
      </c>
      <c r="AM112" s="280">
        <f t="shared" si="47"/>
        <v>40.176203483090497</v>
      </c>
      <c r="AN112" s="280">
        <f t="shared" si="47"/>
        <v>40.176203483090497</v>
      </c>
      <c r="AO112" s="280">
        <f t="shared" si="47"/>
        <v>40.176203483090497</v>
      </c>
      <c r="AP112" s="280">
        <f t="shared" si="47"/>
        <v>40.176203483090497</v>
      </c>
      <c r="AQ112" s="280">
        <f t="shared" si="47"/>
        <v>40.176203483090497</v>
      </c>
      <c r="AR112" s="280">
        <f t="shared" si="47"/>
        <v>40.176203483090497</v>
      </c>
      <c r="AS112" s="280">
        <f t="shared" si="47"/>
        <v>40.176203483090497</v>
      </c>
      <c r="AT112" s="280">
        <f t="shared" si="47"/>
        <v>40.176203483090497</v>
      </c>
      <c r="AU112" s="280">
        <f t="shared" si="47"/>
        <v>40.176203483090497</v>
      </c>
      <c r="AV112" s="280">
        <f t="shared" si="47"/>
        <v>40.176203483090497</v>
      </c>
      <c r="AW112" s="280">
        <f t="shared" si="47"/>
        <v>40.176203483090497</v>
      </c>
      <c r="AX112" s="280">
        <f t="shared" si="47"/>
        <v>40.176203483090497</v>
      </c>
      <c r="AY112" s="280">
        <f t="shared" si="47"/>
        <v>40.176203483090497</v>
      </c>
      <c r="AZ112" s="280">
        <f t="shared" si="47"/>
        <v>40.176203483090497</v>
      </c>
      <c r="BA112" s="280">
        <f t="shared" si="47"/>
        <v>40.176203483090497</v>
      </c>
      <c r="BB112" s="280">
        <f t="shared" si="47"/>
        <v>40.176203483090497</v>
      </c>
      <c r="BC112" s="280">
        <f t="shared" si="47"/>
        <v>40.176203483090497</v>
      </c>
      <c r="BD112" s="280"/>
      <c r="BE112" s="280"/>
      <c r="BF112" s="280"/>
    </row>
    <row r="113" spans="1:58" s="192" customFormat="1" ht="18" hidden="1" customHeight="1" outlineLevel="1" x14ac:dyDescent="0.25">
      <c r="B113" s="732" t="str">
        <f>B86</f>
        <v>Aterro Sanitário</v>
      </c>
      <c r="C113" s="291" t="str">
        <f>C58</f>
        <v>Sim</v>
      </c>
      <c r="D113" s="291">
        <f>D58</f>
        <v>47810.771318108978</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5.6379582755256523</v>
      </c>
      <c r="G115" s="293">
        <f>IF(G60&gt;0,'R&amp;C-Painel de Controle'!$O75+'R&amp;C-Painel de Controle'!$P75*G60/1000000,0)</f>
        <v>5.6379582755256523</v>
      </c>
      <c r="H115" s="293">
        <f>IF(H60&gt;0,'R&amp;C-Painel de Controle'!$O75+'R&amp;C-Painel de Controle'!$P75*H60/1000000,0)</f>
        <v>5.6379582755256523</v>
      </c>
      <c r="I115" s="293">
        <f>IF(I60&gt;0,'R&amp;C-Painel de Controle'!$O75+'R&amp;C-Painel de Controle'!$P75*I60/1000000,0)</f>
        <v>5.6379582755256523</v>
      </c>
      <c r="J115" s="293">
        <f>IF(J60&gt;0,'R&amp;C-Painel de Controle'!$O75+'R&amp;C-Painel de Controle'!$P75*J60/1000000,0)</f>
        <v>5.6379582755256523</v>
      </c>
      <c r="K115" s="293">
        <f>IF(K60&gt;0,'R&amp;C-Painel de Controle'!$O75+'R&amp;C-Painel de Controle'!$P75*K60/1000000,0)</f>
        <v>5.6379582755256523</v>
      </c>
      <c r="L115" s="293">
        <f>IF(L60&gt;0,'R&amp;C-Painel de Controle'!$O75+'R&amp;C-Painel de Controle'!$P75*L60/1000000,0)</f>
        <v>5.6379582755256523</v>
      </c>
      <c r="M115" s="293">
        <f>IF(M60&gt;0,'R&amp;C-Painel de Controle'!$O75+'R&amp;C-Painel de Controle'!$P75*M60/1000000,0)</f>
        <v>5.6379582755256523</v>
      </c>
      <c r="N115" s="293">
        <f>IF(N60&gt;0,'R&amp;C-Painel de Controle'!$O75+'R&amp;C-Painel de Controle'!$P75*N60/1000000,0)</f>
        <v>5.6379582755256523</v>
      </c>
      <c r="O115" s="293">
        <f>IF(O60&gt;0,'R&amp;C-Painel de Controle'!$O75+'R&amp;C-Painel de Controle'!$P75*O60/1000000,0)</f>
        <v>5.6379582755256523</v>
      </c>
      <c r="P115" s="293">
        <f>IF(P60&gt;0,'R&amp;C-Painel de Controle'!$O75+'R&amp;C-Painel de Controle'!$P75*P60/1000000,0)</f>
        <v>5.6379582755256523</v>
      </c>
      <c r="Q115" s="293">
        <f>IF(Q60&gt;0,'R&amp;C-Painel de Controle'!$O75+'R&amp;C-Painel de Controle'!$P75*Q60/1000000,0)</f>
        <v>5.6379582755256523</v>
      </c>
      <c r="R115" s="280">
        <f t="shared" ref="R115:BC115" si="48">Q115</f>
        <v>5.6379582755256523</v>
      </c>
      <c r="S115" s="280">
        <f t="shared" si="48"/>
        <v>5.6379582755256523</v>
      </c>
      <c r="T115" s="280">
        <f t="shared" si="48"/>
        <v>5.6379582755256523</v>
      </c>
      <c r="U115" s="280">
        <f t="shared" si="48"/>
        <v>5.6379582755256523</v>
      </c>
      <c r="V115" s="280">
        <f t="shared" si="48"/>
        <v>5.6379582755256523</v>
      </c>
      <c r="W115" s="280">
        <f t="shared" si="48"/>
        <v>5.6379582755256523</v>
      </c>
      <c r="X115" s="280">
        <f t="shared" si="48"/>
        <v>5.6379582755256523</v>
      </c>
      <c r="Y115" s="280">
        <f t="shared" si="48"/>
        <v>5.6379582755256523</v>
      </c>
      <c r="Z115" s="280">
        <f t="shared" si="48"/>
        <v>5.6379582755256523</v>
      </c>
      <c r="AA115" s="280">
        <f t="shared" si="48"/>
        <v>5.6379582755256523</v>
      </c>
      <c r="AB115" s="280">
        <f t="shared" si="48"/>
        <v>5.6379582755256523</v>
      </c>
      <c r="AC115" s="280">
        <f t="shared" si="48"/>
        <v>5.6379582755256523</v>
      </c>
      <c r="AD115" s="280">
        <f t="shared" si="48"/>
        <v>5.6379582755256523</v>
      </c>
      <c r="AE115" s="280">
        <f t="shared" si="48"/>
        <v>5.6379582755256523</v>
      </c>
      <c r="AF115" s="280">
        <f t="shared" si="48"/>
        <v>5.6379582755256523</v>
      </c>
      <c r="AG115" s="280">
        <f t="shared" si="48"/>
        <v>5.6379582755256523</v>
      </c>
      <c r="AH115" s="280">
        <f t="shared" si="48"/>
        <v>5.6379582755256523</v>
      </c>
      <c r="AI115" s="280">
        <f t="shared" si="48"/>
        <v>5.6379582755256523</v>
      </c>
      <c r="AJ115" s="280">
        <f t="shared" si="48"/>
        <v>5.6379582755256523</v>
      </c>
      <c r="AK115" s="280">
        <f t="shared" si="48"/>
        <v>5.6379582755256523</v>
      </c>
      <c r="AL115" s="280">
        <f t="shared" si="48"/>
        <v>5.6379582755256523</v>
      </c>
      <c r="AM115" s="280">
        <f t="shared" si="48"/>
        <v>5.6379582755256523</v>
      </c>
      <c r="AN115" s="280">
        <f t="shared" si="48"/>
        <v>5.6379582755256523</v>
      </c>
      <c r="AO115" s="280">
        <f t="shared" si="48"/>
        <v>5.6379582755256523</v>
      </c>
      <c r="AP115" s="280">
        <f t="shared" si="48"/>
        <v>5.6379582755256523</v>
      </c>
      <c r="AQ115" s="280">
        <f t="shared" si="48"/>
        <v>5.6379582755256523</v>
      </c>
      <c r="AR115" s="280">
        <f t="shared" si="48"/>
        <v>5.6379582755256523</v>
      </c>
      <c r="AS115" s="280">
        <f t="shared" si="48"/>
        <v>5.6379582755256523</v>
      </c>
      <c r="AT115" s="280">
        <f t="shared" si="48"/>
        <v>5.6379582755256523</v>
      </c>
      <c r="AU115" s="280">
        <f t="shared" si="48"/>
        <v>5.6379582755256523</v>
      </c>
      <c r="AV115" s="280">
        <f t="shared" si="48"/>
        <v>5.6379582755256523</v>
      </c>
      <c r="AW115" s="280">
        <f t="shared" si="48"/>
        <v>5.6379582755256523</v>
      </c>
      <c r="AX115" s="280">
        <f t="shared" si="48"/>
        <v>5.6379582755256523</v>
      </c>
      <c r="AY115" s="280">
        <f t="shared" si="48"/>
        <v>5.6379582755256523</v>
      </c>
      <c r="AZ115" s="280">
        <f t="shared" si="48"/>
        <v>5.6379582755256523</v>
      </c>
      <c r="BA115" s="280">
        <f t="shared" si="48"/>
        <v>5.6379582755256523</v>
      </c>
      <c r="BB115" s="280">
        <f t="shared" si="48"/>
        <v>5.6379582755256523</v>
      </c>
      <c r="BC115" s="280">
        <f t="shared" si="48"/>
        <v>5.6379582755256523</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1.4469010625000003</v>
      </c>
      <c r="D117" s="281">
        <f>IF('R-Definição'!$E$121="Existente",D90+((('R&amp;C-Painel de Controle'!$D$88+'R&amp;C-Painel de Controle'!$D$89)*('R&amp;C-Painel de Controle'!$D$44+'R&amp;C-Painel de Controle'!$D$46))/1000000),D90+((('R&amp;C-Painel de Controle'!$D$88)*('R&amp;C-Painel de Controle'!$D$44+'R&amp;C-Painel de Controle'!$D$46))/1000000))</f>
        <v>1.4469010625000003</v>
      </c>
      <c r="E117" s="281">
        <f>IF('R-Definição'!$E$121="Existente",E90+((('R&amp;C-Painel de Controle'!$D$88+'R&amp;C-Painel de Controle'!$D$89)*('R&amp;C-Painel de Controle'!$D$44+'R&amp;C-Painel de Controle'!$D$46))/1000000),E90+((('R&amp;C-Painel de Controle'!$D$88)*('R&amp;C-Painel de Controle'!$D$44+'R&amp;C-Painel de Controle'!$D$46))/1000000))</f>
        <v>1.4469010625000003</v>
      </c>
      <c r="F117" s="281">
        <f>IF('R-Definição'!$E$121="Existente",F90+((('R&amp;C-Painel de Controle'!$D$88+'R&amp;C-Painel de Controle'!$D$89)*('R&amp;C-Painel de Controle'!$D$44+'R&amp;C-Painel de Controle'!$D$46))/1000000),F90+((('R&amp;C-Painel de Controle'!$D$88)*('R&amp;C-Painel de Controle'!$D$44+'R&amp;C-Painel de Controle'!$D$46))/1000000))</f>
        <v>55.047243946382807</v>
      </c>
      <c r="G117" s="281">
        <f>IF('R-Definição'!$E$121="Existente",G90+((('R&amp;C-Painel de Controle'!$D$88+'R&amp;C-Painel de Controle'!$D$89)*('R&amp;C-Painel de Controle'!$D$44+'R&amp;C-Painel de Controle'!$D$46))/1000000),G90+((('R&amp;C-Painel de Controle'!$D$88)*('R&amp;C-Painel de Controle'!$D$44+'R&amp;C-Painel de Controle'!$D$46))/1000000))</f>
        <v>55.047243946382807</v>
      </c>
      <c r="H117" s="281">
        <f>IF('R-Definição'!$E$121="Existente",H90+((('R&amp;C-Painel de Controle'!$D$88+'R&amp;C-Painel de Controle'!$D$89)*('R&amp;C-Painel de Controle'!$D$44+'R&amp;C-Painel de Controle'!$D$46))/1000000),H90+((('R&amp;C-Painel de Controle'!$D$88)*('R&amp;C-Painel de Controle'!$D$44+'R&amp;C-Painel de Controle'!$D$46))/1000000))</f>
        <v>55.047243946382807</v>
      </c>
      <c r="I117" s="281">
        <f>IF('R-Definição'!$E$121="Existente",I90+((('R&amp;C-Painel de Controle'!$D$88+'R&amp;C-Painel de Controle'!$D$89)*('R&amp;C-Painel de Controle'!$D$44+'R&amp;C-Painel de Controle'!$D$46))/1000000),I90+((('R&amp;C-Painel de Controle'!$D$88)*('R&amp;C-Painel de Controle'!$D$44+'R&amp;C-Painel de Controle'!$D$46))/1000000))</f>
        <v>55.047243946382807</v>
      </c>
      <c r="J117" s="281">
        <f>IF('R-Definição'!$E$121="Existente",J90+((('R&amp;C-Painel de Controle'!$D$88+'R&amp;C-Painel de Controle'!$D$89)*('R&amp;C-Painel de Controle'!$D$44+'R&amp;C-Painel de Controle'!$D$46))/1000000),J90+((('R&amp;C-Painel de Controle'!$D$88)*('R&amp;C-Painel de Controle'!$D$44+'R&amp;C-Painel de Controle'!$D$46))/1000000))</f>
        <v>55.047243946382807</v>
      </c>
      <c r="K117" s="281">
        <f>IF('R-Definição'!$E$121="Existente",K90+((('R&amp;C-Painel de Controle'!$D$88+'R&amp;C-Painel de Controle'!$D$89)*('R&amp;C-Painel de Controle'!$D$44+'R&amp;C-Painel de Controle'!$D$46))/1000000),K90+((('R&amp;C-Painel de Controle'!$D$88)*('R&amp;C-Painel de Controle'!$D$44+'R&amp;C-Painel de Controle'!$D$46))/1000000))</f>
        <v>55.047243946382807</v>
      </c>
      <c r="L117" s="281">
        <f>IF('R-Definição'!$E$121="Existente",L90+((('R&amp;C-Painel de Controle'!$D$88+'R&amp;C-Painel de Controle'!$D$89)*('R&amp;C-Painel de Controle'!$D$44+'R&amp;C-Painel de Controle'!$D$46))/1000000),L90+((('R&amp;C-Painel de Controle'!$D$88)*('R&amp;C-Painel de Controle'!$D$44+'R&amp;C-Painel de Controle'!$D$46))/1000000))</f>
        <v>55.047243946382807</v>
      </c>
      <c r="M117" s="281">
        <f>IF('R-Definição'!$E$121="Existente",M90+((('R&amp;C-Painel de Controle'!$D$88+'R&amp;C-Painel de Controle'!$D$89)*('R&amp;C-Painel de Controle'!$D$44+'R&amp;C-Painel de Controle'!$D$46))/1000000),M90+((('R&amp;C-Painel de Controle'!$D$88)*('R&amp;C-Painel de Controle'!$D$44+'R&amp;C-Painel de Controle'!$D$46))/1000000))</f>
        <v>55.047243946382807</v>
      </c>
      <c r="N117" s="281">
        <f>IF('R-Definição'!$E$121="Existente",N90+((('R&amp;C-Painel de Controle'!$D$88+'R&amp;C-Painel de Controle'!$D$89)*('R&amp;C-Painel de Controle'!$D$44+'R&amp;C-Painel de Controle'!$D$46))/1000000),N90+((('R&amp;C-Painel de Controle'!$D$88)*('R&amp;C-Painel de Controle'!$D$44+'R&amp;C-Painel de Controle'!$D$46))/1000000))</f>
        <v>55.047243946382807</v>
      </c>
      <c r="O117" s="281">
        <f>IF('R-Definição'!$E$121="Existente",O90+((('R&amp;C-Painel de Controle'!$D$88+'R&amp;C-Painel de Controle'!$D$89)*('R&amp;C-Painel de Controle'!$D$44+'R&amp;C-Painel de Controle'!$D$46))/1000000),O90+((('R&amp;C-Painel de Controle'!$D$88)*('R&amp;C-Painel de Controle'!$D$44+'R&amp;C-Painel de Controle'!$D$46))/1000000))</f>
        <v>55.047243946382807</v>
      </c>
      <c r="P117" s="281">
        <f>IF('R-Definição'!$E$121="Existente",P90+((('R&amp;C-Painel de Controle'!$D$88+'R&amp;C-Painel de Controle'!$D$89)*('R&amp;C-Painel de Controle'!$D$44+'R&amp;C-Painel de Controle'!$D$46))/1000000),P90+((('R&amp;C-Painel de Controle'!$D$88)*('R&amp;C-Painel de Controle'!$D$44+'R&amp;C-Painel de Controle'!$D$46))/1000000))</f>
        <v>55.047243946382807</v>
      </c>
      <c r="Q117" s="281">
        <f>IF('R-Definição'!$E$121="Existente",Q90+((('R&amp;C-Painel de Controle'!$D$88+'R&amp;C-Painel de Controle'!$D$89)*('R&amp;C-Painel de Controle'!$D$44+'R&amp;C-Painel de Controle'!$D$46))/1000000),Q90+((('R&amp;C-Painel de Controle'!$D$88)*('R&amp;C-Painel de Controle'!$D$44+'R&amp;C-Painel de Controle'!$D$46))/1000000))</f>
        <v>55.047243946382807</v>
      </c>
      <c r="R117" s="281">
        <f>IF('R-Definição'!$E$121="Existente",R90+((('R&amp;C-Painel de Controle'!$D$88+'R&amp;C-Painel de Controle'!$D$89)*('R&amp;C-Painel de Controle'!$D$44+'R&amp;C-Painel de Controle'!$D$46))/1000000),R90+((('R&amp;C-Painel de Controle'!$D$88)*('R&amp;C-Painel de Controle'!$D$44+'R&amp;C-Painel de Controle'!$D$46))/1000000))</f>
        <v>55.047243946382807</v>
      </c>
      <c r="S117" s="281">
        <f>IF('R-Definição'!$E$121="Existente",S90+((('R&amp;C-Painel de Controle'!$D$88+'R&amp;C-Painel de Controle'!$D$89)*('R&amp;C-Painel de Controle'!$D$44+'R&amp;C-Painel de Controle'!$D$46))/1000000),S90+((('R&amp;C-Painel de Controle'!$D$88)*('R&amp;C-Painel de Controle'!$D$44+'R&amp;C-Painel de Controle'!$D$46))/1000000))</f>
        <v>55.047243946382807</v>
      </c>
      <c r="T117" s="281">
        <f>IF('R-Definição'!$E$121="Existente",T90+((('R&amp;C-Painel de Controle'!$D$88+'R&amp;C-Painel de Controle'!$D$89)*('R&amp;C-Painel de Controle'!$D$44+'R&amp;C-Painel de Controle'!$D$46))/1000000),T90+((('R&amp;C-Painel de Controle'!$D$88)*('R&amp;C-Painel de Controle'!$D$44+'R&amp;C-Painel de Controle'!$D$46))/1000000))</f>
        <v>55.047243946382807</v>
      </c>
      <c r="U117" s="281">
        <f>IF('R-Definição'!$E$121="Existente",U90+((('R&amp;C-Painel de Controle'!$D$88+'R&amp;C-Painel de Controle'!$D$89)*('R&amp;C-Painel de Controle'!$D$44+'R&amp;C-Painel de Controle'!$D$46))/1000000),U90+((('R&amp;C-Painel de Controle'!$D$88)*('R&amp;C-Painel de Controle'!$D$44+'R&amp;C-Painel de Controle'!$D$46))/1000000))</f>
        <v>55.047243946382807</v>
      </c>
      <c r="V117" s="281">
        <f>IF('R-Definição'!$E$121="Existente",V90+((('R&amp;C-Painel de Controle'!$D$88+'R&amp;C-Painel de Controle'!$D$89)*('R&amp;C-Painel de Controle'!$D$44+'R&amp;C-Painel de Controle'!$D$46))/1000000),V90+((('R&amp;C-Painel de Controle'!$D$88)*('R&amp;C-Painel de Controle'!$D$44+'R&amp;C-Painel de Controle'!$D$46))/1000000))</f>
        <v>55.047243946382807</v>
      </c>
      <c r="W117" s="281">
        <f>IF('R-Definição'!$E$121="Existente",W90+((('R&amp;C-Painel de Controle'!$D$88+'R&amp;C-Painel de Controle'!$D$89)*('R&amp;C-Painel de Controle'!$D$44+'R&amp;C-Painel de Controle'!$D$46))/1000000),W90+((('R&amp;C-Painel de Controle'!$D$88)*('R&amp;C-Painel de Controle'!$D$44+'R&amp;C-Painel de Controle'!$D$46))/1000000))</f>
        <v>55.047243946382807</v>
      </c>
      <c r="X117" s="281">
        <f>IF('R-Definição'!$E$121="Existente",X90+((('R&amp;C-Painel de Controle'!$D$88+'R&amp;C-Painel de Controle'!$D$89)*('R&amp;C-Painel de Controle'!$D$44+'R&amp;C-Painel de Controle'!$D$46))/1000000),X90+((('R&amp;C-Painel de Controle'!$D$88)*('R&amp;C-Painel de Controle'!$D$44+'R&amp;C-Painel de Controle'!$D$46))/1000000))</f>
        <v>55.047243946382807</v>
      </c>
      <c r="Y117" s="281">
        <f>IF('R-Definição'!$E$121="Existente",Y90+((('R&amp;C-Painel de Controle'!$D$88+'R&amp;C-Painel de Controle'!$D$89)*('R&amp;C-Painel de Controle'!$D$44+'R&amp;C-Painel de Controle'!$D$46))/1000000),Y90+((('R&amp;C-Painel de Controle'!$D$88)*('R&amp;C-Painel de Controle'!$D$44+'R&amp;C-Painel de Controle'!$D$46))/1000000))</f>
        <v>55.047243946382807</v>
      </c>
      <c r="Z117" s="281">
        <f>IF('R-Definição'!$E$121="Existente",Z90+((('R&amp;C-Painel de Controle'!$D$88+'R&amp;C-Painel de Controle'!$D$89)*('R&amp;C-Painel de Controle'!$D$44+'R&amp;C-Painel de Controle'!$D$46))/1000000),Z90+((('R&amp;C-Painel de Controle'!$D$88)*('R&amp;C-Painel de Controle'!$D$44+'R&amp;C-Painel de Controle'!$D$46))/1000000))</f>
        <v>55.047243946382807</v>
      </c>
      <c r="AA117" s="281">
        <f>IF('R-Definição'!$E$121="Existente",AA90+((('R&amp;C-Painel de Controle'!$D$88+'R&amp;C-Painel de Controle'!$D$89)*('R&amp;C-Painel de Controle'!$D$44+'R&amp;C-Painel de Controle'!$D$46))/1000000),AA90+((('R&amp;C-Painel de Controle'!$D$88)*('R&amp;C-Painel de Controle'!$D$44+'R&amp;C-Painel de Controle'!$D$46))/1000000))</f>
        <v>55.047243946382807</v>
      </c>
      <c r="AB117" s="281">
        <f>IF('R-Definição'!$E$121="Existente",AB90+((('R&amp;C-Painel de Controle'!$D$88+'R&amp;C-Painel de Controle'!$D$89)*('R&amp;C-Painel de Controle'!$D$44+'R&amp;C-Painel de Controle'!$D$46))/1000000),AB90+((('R&amp;C-Painel de Controle'!$D$88)*('R&amp;C-Painel de Controle'!$D$44+'R&amp;C-Painel de Controle'!$D$46))/1000000))</f>
        <v>55.047243946382807</v>
      </c>
      <c r="AC117" s="281">
        <f>IF('R-Definição'!$E$121="Existente",AC90+((('R&amp;C-Painel de Controle'!$D$88+'R&amp;C-Painel de Controle'!$D$89)*('R&amp;C-Painel de Controle'!$D$44+'R&amp;C-Painel de Controle'!$D$46))/1000000),AC90+((('R&amp;C-Painel de Controle'!$D$88)*('R&amp;C-Painel de Controle'!$D$44+'R&amp;C-Painel de Controle'!$D$46))/1000000))</f>
        <v>55.047243946382807</v>
      </c>
      <c r="AD117" s="281">
        <f>IF('R-Definição'!$E$121="Existente",AD90+((('R&amp;C-Painel de Controle'!$D$88+'R&amp;C-Painel de Controle'!$D$89)*('R&amp;C-Painel de Controle'!$D$44+'R&amp;C-Painel de Controle'!$D$46))/1000000),AD90+((('R&amp;C-Painel de Controle'!$D$88)*('R&amp;C-Painel de Controle'!$D$44+'R&amp;C-Painel de Controle'!$D$46))/1000000))</f>
        <v>55.047243946382807</v>
      </c>
      <c r="AE117" s="281">
        <f>IF('R-Definição'!$E$121="Existente",AE90+((('R&amp;C-Painel de Controle'!$D$88+'R&amp;C-Painel de Controle'!$D$89)*('R&amp;C-Painel de Controle'!$D$44+'R&amp;C-Painel de Controle'!$D$46))/1000000),AE90+((('R&amp;C-Painel de Controle'!$D$88)*('R&amp;C-Painel de Controle'!$D$44+'R&amp;C-Painel de Controle'!$D$46))/1000000))</f>
        <v>55.047243946382807</v>
      </c>
      <c r="AF117" s="281">
        <f>IF('R-Definição'!$E$121="Existente",AF90+((('R&amp;C-Painel de Controle'!$D$88+'R&amp;C-Painel de Controle'!$D$89)*('R&amp;C-Painel de Controle'!$D$44+'R&amp;C-Painel de Controle'!$D$46))/1000000),AF90+((('R&amp;C-Painel de Controle'!$D$88)*('R&amp;C-Painel de Controle'!$D$44+'R&amp;C-Painel de Controle'!$D$46))/1000000))</f>
        <v>55.047243946382807</v>
      </c>
      <c r="AG117" s="281">
        <f>IF('R-Definição'!$E$121="Existente",AG90+((('R&amp;C-Painel de Controle'!$D$88+'R&amp;C-Painel de Controle'!$D$89)*('R&amp;C-Painel de Controle'!$D$44+'R&amp;C-Painel de Controle'!$D$46))/1000000),AG90+((('R&amp;C-Painel de Controle'!$D$88)*('R&amp;C-Painel de Controle'!$D$44+'R&amp;C-Painel de Controle'!$D$46))/1000000))</f>
        <v>55.047243946382807</v>
      </c>
      <c r="AH117" s="281">
        <f>IF('R-Definição'!$E$121="Existente",AH90+((('R&amp;C-Painel de Controle'!$D$88+'R&amp;C-Painel de Controle'!$D$89)*('R&amp;C-Painel de Controle'!$D$44+'R&amp;C-Painel de Controle'!$D$46))/1000000),AH90+((('R&amp;C-Painel de Controle'!$D$88)*('R&amp;C-Painel de Controle'!$D$44+'R&amp;C-Painel de Controle'!$D$46))/1000000))</f>
        <v>55.047243946382807</v>
      </c>
      <c r="AI117" s="281">
        <f>IF('R-Definição'!$E$121="Existente",AI90+((('R&amp;C-Painel de Controle'!$D$88+'R&amp;C-Painel de Controle'!$D$89)*('R&amp;C-Painel de Controle'!$D$44+'R&amp;C-Painel de Controle'!$D$46))/1000000),AI90+((('R&amp;C-Painel de Controle'!$D$88)*('R&amp;C-Painel de Controle'!$D$44+'R&amp;C-Painel de Controle'!$D$46))/1000000))</f>
        <v>55.047243946382807</v>
      </c>
      <c r="AJ117" s="281">
        <f>IF('R-Definição'!$E$121="Existente",AJ90+((('R&amp;C-Painel de Controle'!$D$88+'R&amp;C-Painel de Controle'!$D$89)*('R&amp;C-Painel de Controle'!$D$44+'R&amp;C-Painel de Controle'!$D$46))/1000000),AJ90+((('R&amp;C-Painel de Controle'!$D$88)*('R&amp;C-Painel de Controle'!$D$44+'R&amp;C-Painel de Controle'!$D$46))/1000000))</f>
        <v>55.047243946382807</v>
      </c>
      <c r="AK117" s="281">
        <f>IF('R-Definição'!$E$121="Existente",AK90+((('R&amp;C-Painel de Controle'!$D$88+'R&amp;C-Painel de Controle'!$D$89)*('R&amp;C-Painel de Controle'!$D$44+'R&amp;C-Painel de Controle'!$D$46))/1000000),AK90+((('R&amp;C-Painel de Controle'!$D$88)*('R&amp;C-Painel de Controle'!$D$44+'R&amp;C-Painel de Controle'!$D$46))/1000000))</f>
        <v>55.047243946382807</v>
      </c>
      <c r="AL117" s="281">
        <f>IF('R-Definição'!$E$121="Existente",AL90+((('R&amp;C-Painel de Controle'!$D$88+'R&amp;C-Painel de Controle'!$D$89)*('R&amp;C-Painel de Controle'!$D$44+'R&amp;C-Painel de Controle'!$D$46))/1000000),AL90+((('R&amp;C-Painel de Controle'!$D$88)*('R&amp;C-Painel de Controle'!$D$44+'R&amp;C-Painel de Controle'!$D$46))/1000000))</f>
        <v>55.047243946382807</v>
      </c>
      <c r="AM117" s="281">
        <f>IF('R-Definição'!$E$121="Existente",AM90+((('R&amp;C-Painel de Controle'!$D$88+'R&amp;C-Painel de Controle'!$D$89)*('R&amp;C-Painel de Controle'!$D$44+'R&amp;C-Painel de Controle'!$D$46))/1000000),AM90+((('R&amp;C-Painel de Controle'!$D$88)*('R&amp;C-Painel de Controle'!$D$44+'R&amp;C-Painel de Controle'!$D$46))/1000000))</f>
        <v>55.047243946382807</v>
      </c>
      <c r="AN117" s="281">
        <f>IF('R-Definição'!$E$121="Existente",AN90+((('R&amp;C-Painel de Controle'!$D$88+'R&amp;C-Painel de Controle'!$D$89)*('R&amp;C-Painel de Controle'!$D$44+'R&amp;C-Painel de Controle'!$D$46))/1000000),AN90+((('R&amp;C-Painel de Controle'!$D$88)*('R&amp;C-Painel de Controle'!$D$44+'R&amp;C-Painel de Controle'!$D$46))/1000000))</f>
        <v>55.047243946382807</v>
      </c>
      <c r="AO117" s="281">
        <f>IF('R-Definição'!$E$121="Existente",AO90+((('R&amp;C-Painel de Controle'!$D$88+'R&amp;C-Painel de Controle'!$D$89)*('R&amp;C-Painel de Controle'!$D$44+'R&amp;C-Painel de Controle'!$D$46))/1000000),AO90+((('R&amp;C-Painel de Controle'!$D$88)*('R&amp;C-Painel de Controle'!$D$44+'R&amp;C-Painel de Controle'!$D$46))/1000000))</f>
        <v>55.047243946382807</v>
      </c>
      <c r="AP117" s="281">
        <f>IF('R-Definição'!$E$121="Existente",AP90+((('R&amp;C-Painel de Controle'!$D$88+'R&amp;C-Painel de Controle'!$D$89)*('R&amp;C-Painel de Controle'!$D$44+'R&amp;C-Painel de Controle'!$D$46))/1000000),AP90+((('R&amp;C-Painel de Controle'!$D$88)*('R&amp;C-Painel de Controle'!$D$44+'R&amp;C-Painel de Controle'!$D$46))/1000000))</f>
        <v>55.047243946382807</v>
      </c>
      <c r="AQ117" s="281">
        <f>IF('R-Definição'!$E$121="Existente",AQ90+((('R&amp;C-Painel de Controle'!$D$88+'R&amp;C-Painel de Controle'!$D$89)*('R&amp;C-Painel de Controle'!$D$44+'R&amp;C-Painel de Controle'!$D$46))/1000000),AQ90+((('R&amp;C-Painel de Controle'!$D$88)*('R&amp;C-Painel de Controle'!$D$44+'R&amp;C-Painel de Controle'!$D$46))/1000000))</f>
        <v>55.047243946382807</v>
      </c>
      <c r="AR117" s="281">
        <f>IF('R-Definição'!$E$121="Existente",AR90+((('R&amp;C-Painel de Controle'!$D$88+'R&amp;C-Painel de Controle'!$D$89)*('R&amp;C-Painel de Controle'!$D$44+'R&amp;C-Painel de Controle'!$D$46))/1000000),AR90+((('R&amp;C-Painel de Controle'!$D$88)*('R&amp;C-Painel de Controle'!$D$44+'R&amp;C-Painel de Controle'!$D$46))/1000000))</f>
        <v>55.047243946382807</v>
      </c>
      <c r="AS117" s="281">
        <f>IF('R-Definição'!$E$121="Existente",AS90+((('R&amp;C-Painel de Controle'!$D$88+'R&amp;C-Painel de Controle'!$D$89)*('R&amp;C-Painel de Controle'!$D$44+'R&amp;C-Painel de Controle'!$D$46))/1000000),AS90+((('R&amp;C-Painel de Controle'!$D$88)*('R&amp;C-Painel de Controle'!$D$44+'R&amp;C-Painel de Controle'!$D$46))/1000000))</f>
        <v>55.047243946382807</v>
      </c>
      <c r="AT117" s="281">
        <f>IF('R-Definição'!$E$121="Existente",AT90+((('R&amp;C-Painel de Controle'!$D$88+'R&amp;C-Painel de Controle'!$D$89)*('R&amp;C-Painel de Controle'!$D$44+'R&amp;C-Painel de Controle'!$D$46))/1000000),AT90+((('R&amp;C-Painel de Controle'!$D$88)*('R&amp;C-Painel de Controle'!$D$44+'R&amp;C-Painel de Controle'!$D$46))/1000000))</f>
        <v>55.047243946382807</v>
      </c>
      <c r="AU117" s="281">
        <f>IF('R-Definição'!$E$121="Existente",AU90+((('R&amp;C-Painel de Controle'!$D$88+'R&amp;C-Painel de Controle'!$D$89)*('R&amp;C-Painel de Controle'!$D$44+'R&amp;C-Painel de Controle'!$D$46))/1000000),AU90+((('R&amp;C-Painel de Controle'!$D$88)*('R&amp;C-Painel de Controle'!$D$44+'R&amp;C-Painel de Controle'!$D$46))/1000000))</f>
        <v>55.047243946382807</v>
      </c>
      <c r="AV117" s="281">
        <f>IF('R-Definição'!$E$121="Existente",AV90+((('R&amp;C-Painel de Controle'!$D$88+'R&amp;C-Painel de Controle'!$D$89)*('R&amp;C-Painel de Controle'!$D$44+'R&amp;C-Painel de Controle'!$D$46))/1000000),AV90+((('R&amp;C-Painel de Controle'!$D$88)*('R&amp;C-Painel de Controle'!$D$44+'R&amp;C-Painel de Controle'!$D$46))/1000000))</f>
        <v>55.047243946382807</v>
      </c>
      <c r="AW117" s="281">
        <f>IF('R-Definição'!$E$121="Existente",AW90+((('R&amp;C-Painel de Controle'!$D$88+'R&amp;C-Painel de Controle'!$D$89)*('R&amp;C-Painel de Controle'!$D$44+'R&amp;C-Painel de Controle'!$D$46))/1000000),AW90+((('R&amp;C-Painel de Controle'!$D$88)*('R&amp;C-Painel de Controle'!$D$44+'R&amp;C-Painel de Controle'!$D$46))/1000000))</f>
        <v>55.047243946382807</v>
      </c>
      <c r="AX117" s="281">
        <f>IF('R-Definição'!$E$121="Existente",AX90+((('R&amp;C-Painel de Controle'!$D$88+'R&amp;C-Painel de Controle'!$D$89)*('R&amp;C-Painel de Controle'!$D$44+'R&amp;C-Painel de Controle'!$D$46))/1000000),AX90+((('R&amp;C-Painel de Controle'!$D$88)*('R&amp;C-Painel de Controle'!$D$44+'R&amp;C-Painel de Controle'!$D$46))/1000000))</f>
        <v>55.047243946382807</v>
      </c>
      <c r="AY117" s="281">
        <f>IF('R-Definição'!$E$121="Existente",AY90+((('R&amp;C-Painel de Controle'!$D$88+'R&amp;C-Painel de Controle'!$D$89)*('R&amp;C-Painel de Controle'!$D$44+'R&amp;C-Painel de Controle'!$D$46))/1000000),AY90+((('R&amp;C-Painel de Controle'!$D$88)*('R&amp;C-Painel de Controle'!$D$44+'R&amp;C-Painel de Controle'!$D$46))/1000000))</f>
        <v>55.047243946382807</v>
      </c>
      <c r="AZ117" s="281">
        <f>IF('R-Definição'!$E$121="Existente",AZ90+((('R&amp;C-Painel de Controle'!$D$88+'R&amp;C-Painel de Controle'!$D$89)*('R&amp;C-Painel de Controle'!$D$44+'R&amp;C-Painel de Controle'!$D$46))/1000000),AZ90+((('R&amp;C-Painel de Controle'!$D$88)*('R&amp;C-Painel de Controle'!$D$44+'R&amp;C-Painel de Controle'!$D$46))/1000000))</f>
        <v>55.047243946382807</v>
      </c>
      <c r="BA117" s="281">
        <f>IF('R-Definição'!$E$121="Existente",BA90+((('R&amp;C-Painel de Controle'!$D$88+'R&amp;C-Painel de Controle'!$D$89)*('R&amp;C-Painel de Controle'!$D$44+'R&amp;C-Painel de Controle'!$D$46))/1000000),BA90+((('R&amp;C-Painel de Controle'!$D$88)*('R&amp;C-Painel de Controle'!$D$44+'R&amp;C-Painel de Controle'!$D$46))/1000000))</f>
        <v>55.047243946382807</v>
      </c>
      <c r="BB117" s="281">
        <f>IF('R-Definição'!$E$121="Existente",BB90+((('R&amp;C-Painel de Controle'!$D$88+'R&amp;C-Painel de Controle'!$D$89)*('R&amp;C-Painel de Controle'!$D$44+'R&amp;C-Painel de Controle'!$D$46))/1000000),BB90+((('R&amp;C-Painel de Controle'!$D$88)*('R&amp;C-Painel de Controle'!$D$44+'R&amp;C-Painel de Controle'!$D$46))/1000000))</f>
        <v>55.047243946382807</v>
      </c>
      <c r="BC117" s="281">
        <f>IF('R-Definição'!$E$121="Existente",BC90+((('R&amp;C-Painel de Controle'!$D$88+'R&amp;C-Painel de Controle'!$D$89)*('R&amp;C-Painel de Controle'!$D$44+'R&amp;C-Painel de Controle'!$D$46))/1000000),BC90+((('R&amp;C-Painel de Controle'!$D$88)*('R&amp;C-Painel de Controle'!$D$44+'R&amp;C-Painel de Controle'!$D$46))/1000000))</f>
        <v>55.047243946382807</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2.4469010625000003</v>
      </c>
      <c r="D119" s="281">
        <f>(D117+'R&amp;C-Painel de Controle'!$D$28)*(1+$C$118)</f>
        <v>2.4469010625000003</v>
      </c>
      <c r="E119" s="281">
        <f>(E117+'R&amp;C-Painel de Controle'!$D$28)*(1+$C$118)</f>
        <v>2.4469010625000003</v>
      </c>
      <c r="F119" s="281">
        <f>(F117+'R&amp;C-Painel de Controle'!$D$28)*(1+$C$118)</f>
        <v>56.047243946382807</v>
      </c>
      <c r="G119" s="281">
        <f>(G117+'R&amp;C-Painel de Controle'!$D$28)*(1+$C$118)</f>
        <v>56.047243946382807</v>
      </c>
      <c r="H119" s="281">
        <f>(H117+'R&amp;C-Painel de Controle'!$D$28)*(1+$C$118)</f>
        <v>56.047243946382807</v>
      </c>
      <c r="I119" s="281">
        <f>(I117+'R&amp;C-Painel de Controle'!$D$28)*(1+$C$118)</f>
        <v>56.047243946382807</v>
      </c>
      <c r="J119" s="281">
        <f>(J117+'R&amp;C-Painel de Controle'!$D$28)*(1+$C$118)</f>
        <v>56.047243946382807</v>
      </c>
      <c r="K119" s="281">
        <f>(K117+'R&amp;C-Painel de Controle'!$D$28)*(1+$C$118)</f>
        <v>56.047243946382807</v>
      </c>
      <c r="L119" s="281">
        <f>(L117+'R&amp;C-Painel de Controle'!$D$28)*(1+$C$118)</f>
        <v>56.047243946382807</v>
      </c>
      <c r="M119" s="281">
        <f>(M117+'R&amp;C-Painel de Controle'!$D$28)*(1+$C$118)</f>
        <v>56.047243946382807</v>
      </c>
      <c r="N119" s="281">
        <f>(N117+'R&amp;C-Painel de Controle'!$D$28)*(1+$C$118)</f>
        <v>56.047243946382807</v>
      </c>
      <c r="O119" s="281">
        <f>(O117+'R&amp;C-Painel de Controle'!$D$28)*(1+$C$118)</f>
        <v>56.047243946382807</v>
      </c>
      <c r="P119" s="281">
        <f>(P117+'R&amp;C-Painel de Controle'!$D$28)*(1+$C$118)</f>
        <v>56.047243946382807</v>
      </c>
      <c r="Q119" s="281">
        <f>(Q117+'R&amp;C-Painel de Controle'!$D$28)*(1+$C$118)</f>
        <v>56.047243946382807</v>
      </c>
      <c r="R119" s="281">
        <f>(R117+'R&amp;C-Painel de Controle'!$D$28)*(1+$C$118)</f>
        <v>56.047243946382807</v>
      </c>
      <c r="S119" s="281">
        <f>(S117+'R&amp;C-Painel de Controle'!$D$28)*(1+$C$118)</f>
        <v>56.047243946382807</v>
      </c>
      <c r="T119" s="281">
        <f>(T117+'R&amp;C-Painel de Controle'!$D$28)*(1+$C$118)</f>
        <v>56.047243946382807</v>
      </c>
      <c r="U119" s="281">
        <f>(U117+'R&amp;C-Painel de Controle'!$D$28)*(1+$C$118)</f>
        <v>56.047243946382807</v>
      </c>
      <c r="V119" s="281">
        <f>(V117+'R&amp;C-Painel de Controle'!$D$28)*(1+$C$118)</f>
        <v>56.047243946382807</v>
      </c>
      <c r="W119" s="281">
        <f>(W117+'R&amp;C-Painel de Controle'!$D$28)*(1+$C$118)</f>
        <v>56.047243946382807</v>
      </c>
      <c r="X119" s="281">
        <f>(X117+'R&amp;C-Painel de Controle'!$D$28)*(1+$C$118)</f>
        <v>56.047243946382807</v>
      </c>
      <c r="Y119" s="281">
        <f>(Y117+'R&amp;C-Painel de Controle'!$D$28)*(1+$C$118)</f>
        <v>56.047243946382807</v>
      </c>
      <c r="Z119" s="281">
        <f>(Z117+'R&amp;C-Painel de Controle'!$D$28)*(1+$C$118)</f>
        <v>56.047243946382807</v>
      </c>
      <c r="AA119" s="281">
        <f>(AA117+'R&amp;C-Painel de Controle'!$D$28)*(1+$C$118)</f>
        <v>56.047243946382807</v>
      </c>
      <c r="AB119" s="281">
        <f>(AB117+'R&amp;C-Painel de Controle'!$D$28)*(1+$C$118)</f>
        <v>56.047243946382807</v>
      </c>
      <c r="AC119" s="281">
        <f>(AC117+'R&amp;C-Painel de Controle'!$D$28)*(1+$C$118)</f>
        <v>56.047243946382807</v>
      </c>
      <c r="AD119" s="281">
        <f>(AD117+'R&amp;C-Painel de Controle'!$D$28)*(1+$C$118)</f>
        <v>56.047243946382807</v>
      </c>
      <c r="AE119" s="281">
        <f>(AE117+'R&amp;C-Painel de Controle'!$D$28)*(1+$C$118)</f>
        <v>56.047243946382807</v>
      </c>
      <c r="AF119" s="281">
        <f>(AF117+'R&amp;C-Painel de Controle'!$D$28)*(1+$C$118)</f>
        <v>56.047243946382807</v>
      </c>
      <c r="AG119" s="281">
        <f>(AG117+'R&amp;C-Painel de Controle'!$D$28)*(1+$C$118)</f>
        <v>56.047243946382807</v>
      </c>
      <c r="AH119" s="281">
        <f>(AH117+'R&amp;C-Painel de Controle'!$D$28)*(1+$C$118)</f>
        <v>56.047243946382807</v>
      </c>
      <c r="AI119" s="281">
        <f>(AI117+'R&amp;C-Painel de Controle'!$D$28)*(1+$C$118)</f>
        <v>56.047243946382807</v>
      </c>
      <c r="AJ119" s="281">
        <f>(AJ117+'R&amp;C-Painel de Controle'!$D$28)*(1+$C$118)</f>
        <v>56.047243946382807</v>
      </c>
      <c r="AK119" s="281">
        <f>(AK117+'R&amp;C-Painel de Controle'!$D$28)*(1+$C$118)</f>
        <v>56.047243946382807</v>
      </c>
      <c r="AL119" s="281">
        <f>(AL117+'R&amp;C-Painel de Controle'!$D$28)*(1+$C$118)</f>
        <v>56.047243946382807</v>
      </c>
      <c r="AM119" s="281">
        <f>(AM117+'R&amp;C-Painel de Controle'!$D$28)*(1+$C$118)</f>
        <v>56.047243946382807</v>
      </c>
      <c r="AN119" s="281">
        <f>(AN117+'R&amp;C-Painel de Controle'!$D$28)*(1+$C$118)</f>
        <v>56.047243946382807</v>
      </c>
      <c r="AO119" s="281">
        <f>(AO117+'R&amp;C-Painel de Controle'!$D$28)*(1+$C$118)</f>
        <v>56.047243946382807</v>
      </c>
      <c r="AP119" s="281">
        <f>(AP117+'R&amp;C-Painel de Controle'!$D$28)*(1+$C$118)</f>
        <v>56.047243946382807</v>
      </c>
      <c r="AQ119" s="281">
        <f>(AQ117+'R&amp;C-Painel de Controle'!$D$28)*(1+$C$118)</f>
        <v>56.047243946382807</v>
      </c>
      <c r="AR119" s="281">
        <f>(AR117+'R&amp;C-Painel de Controle'!$D$28)*(1+$C$118)</f>
        <v>56.047243946382807</v>
      </c>
      <c r="AS119" s="281">
        <f>(AS117+'R&amp;C-Painel de Controle'!$D$28)*(1+$C$118)</f>
        <v>56.047243946382807</v>
      </c>
      <c r="AT119" s="281">
        <f>(AT117+'R&amp;C-Painel de Controle'!$D$28)*(1+$C$118)</f>
        <v>56.047243946382807</v>
      </c>
      <c r="AU119" s="281">
        <f>(AU117+'R&amp;C-Painel de Controle'!$D$28)*(1+$C$118)</f>
        <v>56.047243946382807</v>
      </c>
      <c r="AV119" s="281">
        <f>(AV117+'R&amp;C-Painel de Controle'!$D$28)*(1+$C$118)</f>
        <v>56.047243946382807</v>
      </c>
      <c r="AW119" s="281">
        <f>(AW117+'R&amp;C-Painel de Controle'!$D$28)*(1+$C$118)</f>
        <v>56.047243946382807</v>
      </c>
      <c r="AX119" s="281">
        <f>(AX117+'R&amp;C-Painel de Controle'!$D$28)*(1+$C$118)</f>
        <v>56.047243946382807</v>
      </c>
      <c r="AY119" s="281">
        <f>(AY117+'R&amp;C-Painel de Controle'!$D$28)*(1+$C$118)</f>
        <v>56.047243946382807</v>
      </c>
      <c r="AZ119" s="281">
        <f>(AZ117+'R&amp;C-Painel de Controle'!$D$28)*(1+$C$118)</f>
        <v>56.047243946382807</v>
      </c>
      <c r="BA119" s="281">
        <f>(BA117+'R&amp;C-Painel de Controle'!$D$28)*(1+$C$118)</f>
        <v>56.047243946382807</v>
      </c>
      <c r="BB119" s="281">
        <f>(BB117+'R&amp;C-Painel de Controle'!$D$28)*(1+$C$118)</f>
        <v>56.047243946382807</v>
      </c>
      <c r="BC119" s="281">
        <f>(BC117+'R&amp;C-Painel de Controle'!$D$28)*(1+$C$118)</f>
        <v>56.047243946382807</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18308.493589743593</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Sim</v>
      </c>
      <c r="D141" s="291">
        <f>D110</f>
        <v>145153.85659054489</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44.084506101242951</v>
      </c>
      <c r="G143" s="300">
        <f>IF(G57&gt;0,'R&amp;C-Painel de Controle'!$O$71*(1-0.0925)*G35/1000000,0)</f>
        <v>44.291703279918785</v>
      </c>
      <c r="H143" s="300">
        <f>IF(H57&gt;0,'R&amp;C-Painel de Controle'!$O$71*(1-0.0925)*H35/1000000,0)</f>
        <v>44.4998742853344</v>
      </c>
      <c r="I143" s="300">
        <f>IF(I57&gt;0,'R&amp;C-Painel de Controle'!$O$71*(1-0.0925)*I35/1000000,0)</f>
        <v>44.709023694475469</v>
      </c>
      <c r="J143" s="300">
        <f>IF(J57&gt;0,'R&amp;C-Painel de Controle'!$O$71*(1-0.0925)*J35/1000000,0)</f>
        <v>44.919156105839505</v>
      </c>
      <c r="K143" s="300">
        <f>IF(K57&gt;0,'R&amp;C-Painel de Controle'!$O$71*(1-0.0925)*K35/1000000,0)</f>
        <v>45.130276139536946</v>
      </c>
      <c r="L143" s="300">
        <f>IF(L57&gt;0,'R&amp;C-Painel de Controle'!$O$71*(1-0.0925)*L35/1000000,0)</f>
        <v>45.342388437392771</v>
      </c>
      <c r="M143" s="300">
        <f>IF(M57&gt;0,'R&amp;C-Painel de Controle'!$O$71*(1-0.0925)*M35/1000000,0)</f>
        <v>45.55549766304852</v>
      </c>
      <c r="N143" s="300">
        <f>IF(N57&gt;0,'R&amp;C-Painel de Controle'!$O$71*(1-0.0925)*N35/1000000,0)</f>
        <v>45.769608502064841</v>
      </c>
      <c r="O143" s="300">
        <f>IF(O57&gt;0,'R&amp;C-Painel de Controle'!$O$71*(1-0.0925)*O35/1000000,0)</f>
        <v>45.984725662024545</v>
      </c>
      <c r="P143" s="300">
        <f>IF(P57&gt;0,'R&amp;C-Painel de Controle'!$O$71*(1-0.0925)*P35/1000000,0)</f>
        <v>46.200853872636053</v>
      </c>
      <c r="Q143" s="300">
        <f>IF(Q57&gt;0,'R&amp;C-Painel de Controle'!$O$71*(1-0.0925)*Q35/1000000,0)</f>
        <v>46.41799788583743</v>
      </c>
      <c r="R143" s="300">
        <f>IF(R57&gt;0,'R&amp;C-Painel de Controle'!$O$71*(1-0.0925)*R35/1000000,0)</f>
        <v>46.636162475900868</v>
      </c>
      <c r="S143" s="300">
        <f>IF(S57&gt;0,'R&amp;C-Painel de Controle'!$O$71*(1-0.0925)*S35/1000000,0)</f>
        <v>46.855352439537597</v>
      </c>
      <c r="T143" s="300">
        <f>IF(T57&gt;0,'R&amp;C-Painel de Controle'!$O$71*(1-0.0925)*T35/1000000,0)</f>
        <v>47.075572596003418</v>
      </c>
      <c r="U143" s="300">
        <f>IF(U57&gt;0,'R&amp;C-Painel de Controle'!$O$71*(1-0.0925)*U35/1000000,0)</f>
        <v>47.296827787204627</v>
      </c>
      <c r="V143" s="300">
        <f>IF(V57&gt;0,'R&amp;C-Painel de Controle'!$O$71*(1-0.0925)*V35/1000000,0)</f>
        <v>47.519122877804485</v>
      </c>
      <c r="W143" s="300">
        <f>IF(W57&gt;0,'R&amp;C-Painel de Controle'!$O$71*(1-0.0925)*W35/1000000,0)</f>
        <v>47.742462755330159</v>
      </c>
      <c r="X143" s="300">
        <f>IF(X57&gt;0,'R&amp;C-Painel de Controle'!$O$71*(1-0.0925)*X35/1000000,0)</f>
        <v>47.966852330280204</v>
      </c>
      <c r="Y143" s="300">
        <f>IF(Y57&gt;0,'R&amp;C-Painel de Controle'!$O$71*(1-0.0925)*Y35/1000000,0)</f>
        <v>48.192296536232526</v>
      </c>
      <c r="Z143" s="300">
        <f>IF(Z57&gt;0,'R&amp;C-Painel de Controle'!$O$71*(1-0.0925)*Z35/1000000,0)</f>
        <v>48.418800329952816</v>
      </c>
      <c r="AA143" s="300">
        <f>IF(AA57&gt;0,'R&amp;C-Painel de Controle'!$O$71*(1-0.0925)*AA35/1000000,0)</f>
        <v>48.646368691503582</v>
      </c>
      <c r="AB143" s="300">
        <f>IF(AB57&gt;0,'R&amp;C-Painel de Controle'!$O$71*(1-0.0925)*AB35/1000000,0)</f>
        <v>48.875006624353645</v>
      </c>
      <c r="AC143" s="300">
        <f>IF(AC57&gt;0,'R&amp;C-Painel de Controle'!$O$71*(1-0.0925)*AC35/1000000,0)</f>
        <v>49.104719155488105</v>
      </c>
      <c r="AD143" s="300">
        <f>IF(AD57&gt;0,'R&amp;C-Painel de Controle'!$O$71*(1-0.0925)*AD35/1000000,0)</f>
        <v>49.335511335518888</v>
      </c>
      <c r="AE143" s="300">
        <f>IF(AE57&gt;0,'R&amp;C-Painel de Controle'!$O$71*(1-0.0925)*AE35/1000000,0)</f>
        <v>49.567388238795822</v>
      </c>
      <c r="AF143" s="300">
        <f>IF(AF57&gt;0,'R&amp;C-Painel de Controle'!$O$71*(1-0.0925)*AF35/1000000,0)</f>
        <v>49.800354963518167</v>
      </c>
      <c r="AG143" s="300">
        <f>IF(AG57&gt;0,'R&amp;C-Painel de Controle'!$O$71*(1-0.0925)*AG35/1000000,0)</f>
        <v>50.034416631846696</v>
      </c>
      <c r="AH143" s="300">
        <f>IF(AH57&gt;0,'R&amp;C-Painel de Controle'!$O$71*(1-0.0925)*AH35/1000000,0)</f>
        <v>50.269578390016378</v>
      </c>
      <c r="AI143" s="300">
        <f>IF(AI57&gt;0,'R&amp;C-Painel de Controle'!$O$71*(1-0.0925)*AI35/1000000,0)</f>
        <v>50.505845408449446</v>
      </c>
      <c r="AJ143" s="300">
        <f>IF(AJ57&gt;0,'R&amp;C-Painel de Controle'!$O$71*(1-0.0925)*AJ35/1000000,0)</f>
        <v>50.743222881869151</v>
      </c>
      <c r="AK143" s="300">
        <f>IF(AK57&gt;0,'R&amp;C-Painel de Controle'!$O$71*(1-0.0925)*AK35/1000000,0)</f>
        <v>50.981716029413938</v>
      </c>
      <c r="AL143" s="300">
        <f>IF(AL57&gt;0,'R&amp;C-Painel de Controle'!$O$71*(1-0.0925)*AL35/1000000,0)</f>
        <v>51.221330094752176</v>
      </c>
      <c r="AM143" s="300">
        <f>IF(AM57&gt;0,'R&amp;C-Painel de Controle'!$O$71*(1-0.0925)*AM35/1000000,0)</f>
        <v>51.462070346197514</v>
      </c>
      <c r="AN143" s="300">
        <f>IF(AN57&gt;0,'R&amp;C-Painel de Controle'!$O$71*(1-0.0925)*AN35/1000000,0)</f>
        <v>51.703942076824646</v>
      </c>
      <c r="AO143" s="300">
        <f>IF(AO57&gt;0,'R&amp;C-Painel de Controle'!$O$71*(1-0.0925)*AO35/1000000,0)</f>
        <v>51.946950604585716</v>
      </c>
      <c r="AP143" s="300">
        <f>IF(AP57&gt;0,'R&amp;C-Painel de Controle'!$O$71*(1-0.0925)*AP35/1000000,0)</f>
        <v>52.191101272427261</v>
      </c>
      <c r="AQ143" s="300">
        <f>IF(AQ57&gt;0,'R&amp;C-Painel de Controle'!$O$71*(1-0.0925)*AQ35/1000000,0)</f>
        <v>52.436399448407656</v>
      </c>
      <c r="AR143" s="300">
        <f>IF(AR57&gt;0,'R&amp;C-Painel de Controle'!$O$71*(1-0.0925)*AR35/1000000,0)</f>
        <v>52.682850525815176</v>
      </c>
      <c r="AS143" s="300">
        <f>IF(AS57&gt;0,'R&amp;C-Painel de Controle'!$O$71*(1-0.0925)*AS35/1000000,0)</f>
        <v>52.930459923286506</v>
      </c>
      <c r="AT143" s="300">
        <f>IF(AT57&gt;0,'R&amp;C-Painel de Controle'!$O$71*(1-0.0925)*AT35/1000000,0)</f>
        <v>53.179233084925954</v>
      </c>
      <c r="AU143" s="300">
        <f>IF(AU57&gt;0,'R&amp;C-Painel de Controle'!$O$71*(1-0.0925)*AU35/1000000,0)</f>
        <v>53.429175480425101</v>
      </c>
      <c r="AV143" s="300">
        <f>IF(AV57&gt;0,'R&amp;C-Painel de Controle'!$O$71*(1-0.0925)*AV35/1000000,0)</f>
        <v>53.680292605183098</v>
      </c>
      <c r="AW143" s="300">
        <f>IF(AW57&gt;0,'R&amp;C-Painel de Controle'!$O$71*(1-0.0925)*AW35/1000000,0)</f>
        <v>53.932589980427458</v>
      </c>
      <c r="AX143" s="300">
        <f>IF(AX57&gt;0,'R&amp;C-Painel de Controle'!$O$71*(1-0.0925)*AX35/1000000,0)</f>
        <v>54.186073153335464</v>
      </c>
      <c r="AY143" s="300">
        <f>IF(AY57&gt;0,'R&amp;C-Painel de Controle'!$O$71*(1-0.0925)*AY35/1000000,0)</f>
        <v>54.440747697156141</v>
      </c>
      <c r="AZ143" s="300">
        <f>IF(AZ57&gt;0,'R&amp;C-Painel de Controle'!$O$71*(1-0.0925)*AZ35/1000000,0)</f>
        <v>54.696619211332766</v>
      </c>
      <c r="BA143" s="300">
        <f>IF(BA57&gt;0,'R&amp;C-Painel de Controle'!$O$71*(1-0.0925)*BA35/1000000,0)</f>
        <v>54.953693321626027</v>
      </c>
      <c r="BB143" s="300">
        <f>IF(BB57&gt;0,'R&amp;C-Painel de Controle'!$O$71*(1-0.0925)*BB35/1000000,0)</f>
        <v>55.211975680237671</v>
      </c>
      <c r="BC143" s="300">
        <f>IF(BC57&gt;0,'R&amp;C-Painel de Controle'!$O$71*(1-0.0925)*BC35/1000000,0)</f>
        <v>55.471471965934782</v>
      </c>
      <c r="BD143" s="280"/>
      <c r="BE143" s="280"/>
      <c r="BF143" s="280"/>
    </row>
    <row r="144" spans="2:58" s="192" customFormat="1" ht="18" hidden="1" customHeight="1" outlineLevel="1" x14ac:dyDescent="0.25">
      <c r="B144" s="732" t="str">
        <f>B113</f>
        <v>Aterro Sanitário</v>
      </c>
      <c r="C144" s="291" t="str">
        <f>C113</f>
        <v>Sim</v>
      </c>
      <c r="D144" s="291">
        <f>D113</f>
        <v>47810.771318108978</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86.320212895538475</v>
      </c>
      <c r="D148" s="281">
        <f t="shared" si="51"/>
        <v>86.725917896147507</v>
      </c>
      <c r="E148" s="281">
        <f t="shared" si="51"/>
        <v>87.133529710259381</v>
      </c>
      <c r="F148" s="281">
        <f t="shared" si="51"/>
        <v>87.543057299897612</v>
      </c>
      <c r="G148" s="281">
        <f t="shared" si="51"/>
        <v>87.954509669207098</v>
      </c>
      <c r="H148" s="281">
        <f t="shared" si="51"/>
        <v>88.367895864652397</v>
      </c>
      <c r="I148" s="281">
        <f t="shared" si="51"/>
        <v>88.783224975216243</v>
      </c>
      <c r="J148" s="281">
        <f t="shared" si="51"/>
        <v>89.20050613259977</v>
      </c>
      <c r="K148" s="281">
        <f t="shared" si="51"/>
        <v>89.619748511422983</v>
      </c>
      <c r="L148" s="281">
        <f t="shared" si="51"/>
        <v>90.040961329426651</v>
      </c>
      <c r="M148" s="281">
        <f t="shared" si="51"/>
        <v>90.464153847674964</v>
      </c>
      <c r="N148" s="281">
        <f t="shared" si="51"/>
        <v>90.889335370759028</v>
      </c>
      <c r="O148" s="281">
        <f t="shared" si="51"/>
        <v>91.316515247001576</v>
      </c>
      <c r="P148" s="281">
        <f t="shared" si="51"/>
        <v>91.745702868662477</v>
      </c>
      <c r="Q148" s="281">
        <f t="shared" si="51"/>
        <v>92.176907672145177</v>
      </c>
      <c r="R148" s="281">
        <f t="shared" si="51"/>
        <v>92.610139138204261</v>
      </c>
      <c r="S148" s="281">
        <f t="shared" si="51"/>
        <v>93.045406792153813</v>
      </c>
      <c r="T148" s="281">
        <f t="shared" si="51"/>
        <v>93.482720204076927</v>
      </c>
      <c r="U148" s="281">
        <f t="shared" si="51"/>
        <v>93.92208898903607</v>
      </c>
      <c r="V148" s="281">
        <f t="shared" si="51"/>
        <v>94.363522807284525</v>
      </c>
      <c r="W148" s="281">
        <f t="shared" si="51"/>
        <v>94.80703136447876</v>
      </c>
      <c r="X148" s="281">
        <f t="shared" si="51"/>
        <v>95.252624411891802</v>
      </c>
      <c r="Y148" s="281">
        <f t="shared" si="51"/>
        <v>95.70031174662769</v>
      </c>
      <c r="Z148" s="281">
        <f t="shared" si="51"/>
        <v>96.150103211836836</v>
      </c>
      <c r="AA148" s="281">
        <f t="shared" si="51"/>
        <v>96.602008696932444</v>
      </c>
      <c r="AB148" s="281">
        <f t="shared" si="51"/>
        <v>97.056038137808017</v>
      </c>
      <c r="AC148" s="281">
        <f t="shared" si="51"/>
        <v>97.512201517055729</v>
      </c>
      <c r="AD148" s="281">
        <f t="shared" si="51"/>
        <v>97.970508864185859</v>
      </c>
      <c r="AE148" s="281">
        <f t="shared" si="51"/>
        <v>98.430970255847541</v>
      </c>
      <c r="AF148" s="281">
        <f t="shared" si="51"/>
        <v>98.893595816049995</v>
      </c>
      <c r="AG148" s="281">
        <f t="shared" si="51"/>
        <v>99.358395716385445</v>
      </c>
      <c r="AH148" s="281">
        <f t="shared" si="51"/>
        <v>99.825380176252438</v>
      </c>
      <c r="AI148" s="281">
        <f t="shared" ref="AI148:BC148" si="52">AI35*$H$26*(1-0.0925-$C$10)/1000000+AI149</f>
        <v>100.29455946308082</v>
      </c>
      <c r="AJ148" s="281">
        <f t="shared" si="52"/>
        <v>100.7659438925573</v>
      </c>
      <c r="AK148" s="281">
        <f t="shared" si="52"/>
        <v>101.23954382885231</v>
      </c>
      <c r="AL148" s="281">
        <f t="shared" si="52"/>
        <v>101.71536968484791</v>
      </c>
      <c r="AM148" s="281">
        <f t="shared" si="52"/>
        <v>102.19343192236668</v>
      </c>
      <c r="AN148" s="281">
        <f t="shared" si="52"/>
        <v>102.67374105240181</v>
      </c>
      <c r="AO148" s="281">
        <f t="shared" si="52"/>
        <v>103.15630763534809</v>
      </c>
      <c r="AP148" s="281">
        <f t="shared" si="52"/>
        <v>103.64114228123421</v>
      </c>
      <c r="AQ148" s="281">
        <f t="shared" si="52"/>
        <v>104.128255649956</v>
      </c>
      <c r="AR148" s="281">
        <f t="shared" si="52"/>
        <v>104.61765845151079</v>
      </c>
      <c r="AS148" s="281">
        <f t="shared" si="52"/>
        <v>105.1093614462329</v>
      </c>
      <c r="AT148" s="281">
        <f t="shared" si="52"/>
        <v>105.60337544503018</v>
      </c>
      <c r="AU148" s="281">
        <f t="shared" si="52"/>
        <v>106.09971130962182</v>
      </c>
      <c r="AV148" s="281">
        <f t="shared" si="52"/>
        <v>106.59837995277702</v>
      </c>
      <c r="AW148" s="281">
        <f t="shared" si="52"/>
        <v>107.09939233855509</v>
      </c>
      <c r="AX148" s="281">
        <f t="shared" si="52"/>
        <v>107.60275948254629</v>
      </c>
      <c r="AY148" s="281">
        <f t="shared" si="52"/>
        <v>108.10849245211426</v>
      </c>
      <c r="AZ148" s="281">
        <f t="shared" si="52"/>
        <v>108.61660236663919</v>
      </c>
      <c r="BA148" s="281">
        <f t="shared" si="52"/>
        <v>109.12710039776239</v>
      </c>
      <c r="BB148" s="281">
        <f t="shared" si="52"/>
        <v>109.63999776963186</v>
      </c>
      <c r="BC148" s="281">
        <f t="shared" si="52"/>
        <v>110.15530575914913</v>
      </c>
    </row>
    <row r="149" spans="2:58" s="192" customFormat="1" ht="16.899999999999999" customHeight="1" x14ac:dyDescent="0.25">
      <c r="B149" s="192" t="s">
        <v>897</v>
      </c>
      <c r="C149" s="281">
        <f>'R&amp;C-Painel de Controle'!D31*312*'R&amp;C-Painel de Controle'!H31*(1-0.0925-$C$10)/1000000</f>
        <v>1.8865048150211905</v>
      </c>
      <c r="D149" s="281">
        <f>C149*(1+'R&amp;C-Painel de Controle'!$D$27)</f>
        <v>1.8953713876517899</v>
      </c>
      <c r="E149" s="281">
        <f>D149*(1+'R&amp;C-Painel de Controle'!$D$27)</f>
        <v>1.9042796331737533</v>
      </c>
      <c r="F149" s="281">
        <f>E149*(1+'R&amp;C-Painel de Controle'!$D$27)</f>
        <v>1.9132297474496698</v>
      </c>
      <c r="G149" s="281">
        <f>F149*(1+'R&amp;C-Painel de Controle'!$D$27)</f>
        <v>1.922221927262683</v>
      </c>
      <c r="H149" s="281">
        <f>G149*(1+'R&amp;C-Painel de Controle'!$D$27)</f>
        <v>1.9312563703208174</v>
      </c>
      <c r="I149" s="281">
        <f>H149*(1+'R&amp;C-Painel de Controle'!$D$27)</f>
        <v>1.9403332752613252</v>
      </c>
      <c r="J149" s="281">
        <f>I149*(1+'R&amp;C-Painel de Controle'!$D$27)</f>
        <v>1.9494528416550532</v>
      </c>
      <c r="K149" s="281">
        <f>J149*(1+'R&amp;C-Painel de Controle'!$D$27)</f>
        <v>1.9586152700108317</v>
      </c>
      <c r="L149" s="281">
        <f>K149*(1+'R&amp;C-Painel de Controle'!$D$27)</f>
        <v>1.9678207617798824</v>
      </c>
      <c r="M149" s="281">
        <f>L149*(1+'R&amp;C-Painel de Controle'!$D$27)</f>
        <v>1.9770695193602477</v>
      </c>
      <c r="N149" s="281">
        <f>M149*(1+'R&amp;C-Painel de Controle'!$D$27)</f>
        <v>1.9863617461012406</v>
      </c>
      <c r="O149" s="281">
        <f>N149*(1+'R&amp;C-Painel de Controle'!$D$27)</f>
        <v>1.9956976463079164</v>
      </c>
      <c r="P149" s="281">
        <f>O149*(1+'R&amp;C-Painel de Controle'!$D$27)</f>
        <v>2.0050774252455632</v>
      </c>
      <c r="Q149" s="281">
        <f>P149*(1+'R&amp;C-Painel de Controle'!$D$27)</f>
        <v>2.0145012891442171</v>
      </c>
      <c r="R149" s="281">
        <f>Q149*(1+'R&amp;C-Painel de Controle'!$D$27)</f>
        <v>2.0239694452031949</v>
      </c>
      <c r="S149" s="281">
        <f>R149*(1+'R&amp;C-Painel de Controle'!$D$27)</f>
        <v>2.0334821015956499</v>
      </c>
      <c r="T149" s="281">
        <f>S149*(1+'R&amp;C-Painel de Controle'!$D$27)</f>
        <v>2.0430394674731494</v>
      </c>
      <c r="U149" s="281">
        <f>T149*(1+'R&amp;C-Painel de Controle'!$D$27)</f>
        <v>2.0526417529702732</v>
      </c>
      <c r="V149" s="281">
        <f>U149*(1+'R&amp;C-Painel de Controle'!$D$27)</f>
        <v>2.0622891692092331</v>
      </c>
      <c r="W149" s="281">
        <f>V149*(1+'R&amp;C-Painel de Controle'!$D$27)</f>
        <v>2.0719819283045164</v>
      </c>
      <c r="X149" s="281">
        <f>W149*(1+'R&amp;C-Painel de Controle'!$D$27)</f>
        <v>2.0817202433675477</v>
      </c>
      <c r="Y149" s="281">
        <f>X149*(1+'R&amp;C-Painel de Controle'!$D$27)</f>
        <v>2.091504328511375</v>
      </c>
      <c r="Z149" s="281">
        <f>Y149*(1+'R&amp;C-Painel de Controle'!$D$27)</f>
        <v>2.1013343988553785</v>
      </c>
      <c r="AA149" s="281">
        <f>Z149*(1+'R&amp;C-Painel de Controle'!$D$27)</f>
        <v>2.1112106705299984</v>
      </c>
      <c r="AB149" s="281">
        <f>AA149*(1+'R&amp;C-Painel de Controle'!$D$27)</f>
        <v>2.1211333606814895</v>
      </c>
      <c r="AC149" s="281">
        <f>AB149*(1+'R&amp;C-Painel de Controle'!$D$27)</f>
        <v>2.1311026874766923</v>
      </c>
      <c r="AD149" s="281">
        <f>AC149*(1+'R&amp;C-Painel de Controle'!$D$27)</f>
        <v>2.1411188701078325</v>
      </c>
      <c r="AE149" s="281">
        <f>AD149*(1+'R&amp;C-Painel de Controle'!$D$27)</f>
        <v>2.1511821287973394</v>
      </c>
      <c r="AF149" s="281">
        <f>AE149*(1+'R&amp;C-Painel de Controle'!$D$27)</f>
        <v>2.1612926848026865</v>
      </c>
      <c r="AG149" s="281">
        <f>AF149*(1+'R&amp;C-Painel de Controle'!$D$27)</f>
        <v>2.171450760421259</v>
      </c>
      <c r="AH149" s="281">
        <f>AG149*(1+'R&amp;C-Painel de Controle'!$D$27)</f>
        <v>2.1816565789952387</v>
      </c>
      <c r="AI149" s="281">
        <f>AH149*(1+'R&amp;C-Painel de Controle'!$D$27)</f>
        <v>2.1919103649165161</v>
      </c>
      <c r="AJ149" s="281">
        <f>AI149*(1+'R&amp;C-Painel de Controle'!$D$27)</f>
        <v>2.2022123436316234</v>
      </c>
      <c r="AK149" s="281">
        <f>AJ149*(1+'R&amp;C-Painel de Controle'!$D$27)</f>
        <v>2.2125627416466918</v>
      </c>
      <c r="AL149" s="281">
        <f>AK149*(1+'R&amp;C-Painel de Controle'!$D$27)</f>
        <v>2.2229617865324309</v>
      </c>
      <c r="AM149" s="281">
        <f>AL149*(1+'R&amp;C-Painel de Controle'!$D$27)</f>
        <v>2.233409706929133</v>
      </c>
      <c r="AN149" s="281">
        <f>AM149*(1+'R&amp;C-Painel de Controle'!$D$27)</f>
        <v>2.2439067325516997</v>
      </c>
      <c r="AO149" s="281">
        <f>AN149*(1+'R&amp;C-Painel de Controle'!$D$27)</f>
        <v>2.2544530941946923</v>
      </c>
      <c r="AP149" s="281">
        <f>AO149*(1+'R&amp;C-Painel de Controle'!$D$27)</f>
        <v>2.265049023737407</v>
      </c>
      <c r="AQ149" s="281">
        <f>AP149*(1+'R&amp;C-Painel de Controle'!$D$27)</f>
        <v>2.2756947541489727</v>
      </c>
      <c r="AR149" s="281">
        <f>AQ149*(1+'R&amp;C-Painel de Controle'!$D$27)</f>
        <v>2.2863905194934726</v>
      </c>
      <c r="AS149" s="281">
        <f>AR149*(1+'R&amp;C-Painel de Controle'!$D$27)</f>
        <v>2.2971365549350917</v>
      </c>
      <c r="AT149" s="281">
        <f>AS149*(1+'R&amp;C-Painel de Controle'!$D$27)</f>
        <v>2.3079330967432865</v>
      </c>
      <c r="AU149" s="281">
        <f>AT149*(1+'R&amp;C-Painel de Controle'!$D$27)</f>
        <v>2.3187803822979798</v>
      </c>
      <c r="AV149" s="281">
        <f>AU149*(1+'R&amp;C-Painel de Controle'!$D$27)</f>
        <v>2.3296786500947801</v>
      </c>
      <c r="AW149" s="281">
        <f>AV149*(1+'R&amp;C-Painel de Controle'!$D$27)</f>
        <v>2.3406281397502253</v>
      </c>
      <c r="AX149" s="281">
        <f>AW149*(1+'R&amp;C-Painel de Controle'!$D$27)</f>
        <v>2.3516290920070513</v>
      </c>
      <c r="AY149" s="281">
        <f>AX149*(1+'R&amp;C-Painel de Controle'!$D$27)</f>
        <v>2.3626817487394844</v>
      </c>
      <c r="AZ149" s="281">
        <f>AY149*(1+'R&amp;C-Painel de Controle'!$D$27)</f>
        <v>2.3737863529585597</v>
      </c>
      <c r="BA149" s="281">
        <f>AZ149*(1+'R&amp;C-Painel de Controle'!$D$27)</f>
        <v>2.3849431488174648</v>
      </c>
      <c r="BB149" s="281">
        <f>BA149*(1+'R&amp;C-Painel de Controle'!$D$27)</f>
        <v>2.3961523816169068</v>
      </c>
      <c r="BC149" s="281">
        <f>BB149*(1+'R&amp;C-Painel de Controle'!$D$27)</f>
        <v>2.4074142978105062</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83.873311833038471</v>
      </c>
      <c r="D151" s="282">
        <f t="shared" si="53"/>
        <v>84.279016833647503</v>
      </c>
      <c r="E151" s="282">
        <f t="shared" si="53"/>
        <v>84.686628647759377</v>
      </c>
      <c r="F151" s="282">
        <f t="shared" si="53"/>
        <v>31.495813353514805</v>
      </c>
      <c r="G151" s="282">
        <f t="shared" si="53"/>
        <v>31.907265722824292</v>
      </c>
      <c r="H151" s="282">
        <f t="shared" si="53"/>
        <v>32.32065191826959</v>
      </c>
      <c r="I151" s="282">
        <f t="shared" si="53"/>
        <v>32.735981028833436</v>
      </c>
      <c r="J151" s="282">
        <f t="shared" si="53"/>
        <v>33.153262186216963</v>
      </c>
      <c r="K151" s="282">
        <f t="shared" si="53"/>
        <v>33.572504565040177</v>
      </c>
      <c r="L151" s="282">
        <f t="shared" si="53"/>
        <v>33.993717383043844</v>
      </c>
      <c r="M151" s="282">
        <f t="shared" si="53"/>
        <v>34.416909901292158</v>
      </c>
      <c r="N151" s="282">
        <f t="shared" si="53"/>
        <v>34.842091424376221</v>
      </c>
      <c r="O151" s="282">
        <f t="shared" si="53"/>
        <v>35.269271300618769</v>
      </c>
      <c r="P151" s="282">
        <f t="shared" si="53"/>
        <v>35.69845892227967</v>
      </c>
      <c r="Q151" s="282">
        <f t="shared" si="53"/>
        <v>36.12966372576237</v>
      </c>
      <c r="R151" s="282">
        <f t="shared" si="53"/>
        <v>36.562895191821454</v>
      </c>
      <c r="S151" s="282">
        <f t="shared" si="53"/>
        <v>36.998162845771006</v>
      </c>
      <c r="T151" s="282">
        <f t="shared" si="53"/>
        <v>37.43547625769412</v>
      </c>
      <c r="U151" s="282">
        <f t="shared" si="53"/>
        <v>37.874845042653263</v>
      </c>
      <c r="V151" s="282">
        <f t="shared" si="53"/>
        <v>38.316278860901718</v>
      </c>
      <c r="W151" s="282">
        <f t="shared" si="53"/>
        <v>38.759787418095954</v>
      </c>
      <c r="X151" s="282">
        <f t="shared" si="53"/>
        <v>39.205380465508995</v>
      </c>
      <c r="Y151" s="282">
        <f t="shared" si="53"/>
        <v>39.653067800244884</v>
      </c>
      <c r="Z151" s="282">
        <f t="shared" si="53"/>
        <v>40.102859265454029</v>
      </c>
      <c r="AA151" s="282">
        <f t="shared" si="53"/>
        <v>40.554764750549637</v>
      </c>
      <c r="AB151" s="282">
        <f t="shared" si="53"/>
        <v>41.00879419142521</v>
      </c>
      <c r="AC151" s="282">
        <f t="shared" si="53"/>
        <v>41.464957570672922</v>
      </c>
      <c r="AD151" s="282">
        <f t="shared" si="53"/>
        <v>41.923264917803053</v>
      </c>
      <c r="AE151" s="282">
        <f t="shared" si="53"/>
        <v>42.383726309464734</v>
      </c>
      <c r="AF151" s="282">
        <f t="shared" si="53"/>
        <v>42.846351869667188</v>
      </c>
      <c r="AG151" s="282">
        <f t="shared" si="53"/>
        <v>43.311151770002638</v>
      </c>
      <c r="AH151" s="282">
        <f t="shared" si="53"/>
        <v>43.778136229869631</v>
      </c>
      <c r="AI151" s="282">
        <f t="shared" si="53"/>
        <v>44.247315516698009</v>
      </c>
      <c r="AJ151" s="282">
        <f t="shared" si="53"/>
        <v>44.718699946174496</v>
      </c>
      <c r="AK151" s="282">
        <f t="shared" si="53"/>
        <v>45.192299882469499</v>
      </c>
      <c r="AL151" s="282">
        <f t="shared" si="53"/>
        <v>45.668125738465108</v>
      </c>
      <c r="AM151" s="282">
        <f t="shared" si="53"/>
        <v>46.146187975983878</v>
      </c>
      <c r="AN151" s="282">
        <f t="shared" si="53"/>
        <v>46.626497106019002</v>
      </c>
      <c r="AO151" s="282">
        <f t="shared" si="53"/>
        <v>47.109063688965279</v>
      </c>
      <c r="AP151" s="282">
        <f t="shared" si="53"/>
        <v>47.593898334851403</v>
      </c>
      <c r="AQ151" s="282">
        <f t="shared" si="53"/>
        <v>48.081011703573196</v>
      </c>
      <c r="AR151" s="282">
        <f t="shared" si="53"/>
        <v>48.570414505127985</v>
      </c>
      <c r="AS151" s="282">
        <f t="shared" si="53"/>
        <v>49.062117499850089</v>
      </c>
      <c r="AT151" s="282">
        <f t="shared" si="53"/>
        <v>49.556131498647375</v>
      </c>
      <c r="AU151" s="282">
        <f t="shared" si="53"/>
        <v>50.052467363239018</v>
      </c>
      <c r="AV151" s="282">
        <f t="shared" si="53"/>
        <v>50.551136006394216</v>
      </c>
      <c r="AW151" s="282">
        <f t="shared" si="53"/>
        <v>51.052148392172285</v>
      </c>
      <c r="AX151" s="282">
        <f t="shared" si="53"/>
        <v>51.555515536163483</v>
      </c>
      <c r="AY151" s="282">
        <f t="shared" si="53"/>
        <v>52.061248505731456</v>
      </c>
      <c r="AZ151" s="282">
        <f t="shared" si="53"/>
        <v>52.569358420256378</v>
      </c>
      <c r="BA151" s="282">
        <f t="shared" si="53"/>
        <v>53.079856451379584</v>
      </c>
      <c r="BB151" s="282">
        <f t="shared" si="53"/>
        <v>53.592753823249055</v>
      </c>
      <c r="BC151" s="282">
        <f t="shared" si="53"/>
        <v>54.108061812766323</v>
      </c>
    </row>
    <row r="152" spans="2:58" s="192" customFormat="1" ht="16.899999999999999" customHeight="1" outlineLevel="1" x14ac:dyDescent="0.25">
      <c r="B152" s="192" t="s">
        <v>364</v>
      </c>
      <c r="C152" s="282">
        <f>C63</f>
        <v>164.34109731186339</v>
      </c>
      <c r="D152" s="282">
        <f>IF(SUM($C$152:C152)&lt;'R&amp;C-Painel de Controle'!$H$24,D63,0)</f>
        <v>313.42748258698288</v>
      </c>
      <c r="E152" s="282">
        <f>IF(SUM($C$152:D152)&lt;'R&amp;C-Painel de Controle'!$H$24,E63,0)</f>
        <v>223.28478405070493</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-80.467785478824922</v>
      </c>
      <c r="D153" s="282">
        <f t="shared" si="54"/>
        <v>-229.14846575333536</v>
      </c>
      <c r="E153" s="282">
        <f t="shared" si="54"/>
        <v>-138.59815540294557</v>
      </c>
      <c r="F153" s="282">
        <f t="shared" si="54"/>
        <v>31.495813353514805</v>
      </c>
      <c r="G153" s="282">
        <f t="shared" si="54"/>
        <v>31.907265722824292</v>
      </c>
      <c r="H153" s="282">
        <f t="shared" si="54"/>
        <v>32.32065191826959</v>
      </c>
      <c r="I153" s="282">
        <f t="shared" si="54"/>
        <v>32.735981028833436</v>
      </c>
      <c r="J153" s="282">
        <f t="shared" si="54"/>
        <v>33.153262186216963</v>
      </c>
      <c r="K153" s="282">
        <f t="shared" si="54"/>
        <v>33.572504565040177</v>
      </c>
      <c r="L153" s="282">
        <f t="shared" si="54"/>
        <v>33.993717383043844</v>
      </c>
      <c r="M153" s="282">
        <f t="shared" si="54"/>
        <v>34.416909901292158</v>
      </c>
      <c r="N153" s="282">
        <f t="shared" si="54"/>
        <v>34.842091424376221</v>
      </c>
      <c r="O153" s="282">
        <f t="shared" si="54"/>
        <v>35.269271300618769</v>
      </c>
      <c r="P153" s="282">
        <f t="shared" si="54"/>
        <v>35.69845892227967</v>
      </c>
      <c r="Q153" s="282">
        <f t="shared" si="54"/>
        <v>36.12966372576237</v>
      </c>
      <c r="R153" s="282">
        <f t="shared" si="54"/>
        <v>36.562895191821454</v>
      </c>
      <c r="S153" s="282">
        <f t="shared" si="54"/>
        <v>36.998162845771006</v>
      </c>
      <c r="T153" s="282">
        <f t="shared" si="54"/>
        <v>37.43547625769412</v>
      </c>
      <c r="U153" s="282">
        <f t="shared" si="54"/>
        <v>37.874845042653263</v>
      </c>
      <c r="V153" s="282">
        <f t="shared" si="54"/>
        <v>38.316278860901718</v>
      </c>
      <c r="W153" s="282">
        <f t="shared" si="54"/>
        <v>38.759787418095954</v>
      </c>
      <c r="X153" s="282">
        <f t="shared" si="54"/>
        <v>39.205380465508995</v>
      </c>
      <c r="Y153" s="282">
        <f t="shared" si="54"/>
        <v>39.653067800244884</v>
      </c>
      <c r="Z153" s="282">
        <f t="shared" si="54"/>
        <v>40.102859265454029</v>
      </c>
      <c r="AA153" s="282">
        <f t="shared" si="54"/>
        <v>40.554764750549637</v>
      </c>
      <c r="AB153" s="282">
        <f t="shared" si="54"/>
        <v>41.00879419142521</v>
      </c>
      <c r="AC153" s="282">
        <f t="shared" si="54"/>
        <v>41.464957570672922</v>
      </c>
      <c r="AD153" s="282">
        <f t="shared" si="54"/>
        <v>41.923264917803053</v>
      </c>
      <c r="AE153" s="282">
        <f t="shared" si="54"/>
        <v>42.383726309464734</v>
      </c>
      <c r="AF153" s="282">
        <f t="shared" si="54"/>
        <v>42.846351869667188</v>
      </c>
      <c r="AG153" s="282">
        <f t="shared" si="54"/>
        <v>43.311151770002638</v>
      </c>
      <c r="AH153" s="282">
        <f t="shared" si="54"/>
        <v>43.778136229869631</v>
      </c>
      <c r="AI153" s="282">
        <f t="shared" si="54"/>
        <v>44.247315516698009</v>
      </c>
      <c r="AJ153" s="282">
        <f t="shared" si="54"/>
        <v>44.718699946174496</v>
      </c>
      <c r="AK153" s="282">
        <f t="shared" si="54"/>
        <v>45.192299882469499</v>
      </c>
      <c r="AL153" s="282">
        <f t="shared" si="54"/>
        <v>45.668125738465108</v>
      </c>
      <c r="AM153" s="282">
        <f t="shared" si="54"/>
        <v>46.146187975983878</v>
      </c>
      <c r="AN153" s="282">
        <f t="shared" si="54"/>
        <v>46.626497106019002</v>
      </c>
      <c r="AO153" s="282">
        <f t="shared" si="54"/>
        <v>47.109063688965279</v>
      </c>
      <c r="AP153" s="282">
        <f t="shared" si="54"/>
        <v>47.593898334851403</v>
      </c>
      <c r="AQ153" s="282">
        <f t="shared" si="54"/>
        <v>48.081011703573196</v>
      </c>
      <c r="AR153" s="282">
        <f t="shared" si="54"/>
        <v>48.570414505127985</v>
      </c>
      <c r="AS153" s="282">
        <f t="shared" si="54"/>
        <v>49.062117499850089</v>
      </c>
      <c r="AT153" s="282">
        <f t="shared" si="54"/>
        <v>49.556131498647375</v>
      </c>
      <c r="AU153" s="282">
        <f t="shared" si="54"/>
        <v>50.052467363239018</v>
      </c>
      <c r="AV153" s="282">
        <f t="shared" si="54"/>
        <v>50.551136006394216</v>
      </c>
      <c r="AW153" s="282">
        <f t="shared" si="54"/>
        <v>51.052148392172285</v>
      </c>
      <c r="AX153" s="282">
        <f t="shared" si="54"/>
        <v>51.555515536163483</v>
      </c>
      <c r="AY153" s="282">
        <f t="shared" si="54"/>
        <v>52.061248505731456</v>
      </c>
      <c r="AZ153" s="282">
        <f t="shared" si="54"/>
        <v>52.569358420256378</v>
      </c>
      <c r="BA153" s="282">
        <f t="shared" si="54"/>
        <v>53.079856451379584</v>
      </c>
      <c r="BB153" s="282">
        <f t="shared" si="54"/>
        <v>53.592753823249055</v>
      </c>
      <c r="BC153" s="282">
        <f t="shared" si="54"/>
        <v>54.108061812766323</v>
      </c>
    </row>
    <row r="154" spans="2:58" s="192" customFormat="1" ht="16.899999999999999" customHeight="1" outlineLevel="1" x14ac:dyDescent="0.25">
      <c r="B154" s="276" t="s">
        <v>366</v>
      </c>
      <c r="C154" s="282">
        <f>IF((C153&gt;0),C153*(1-($C$26+$C$25)),C153)</f>
        <v>-80.467785478824922</v>
      </c>
      <c r="D154" s="282">
        <f t="shared" ref="D154:BC154" si="55">IF((D153&gt;0),D153*(1-($C$26+$C$25)),D153)</f>
        <v>-229.14846575333536</v>
      </c>
      <c r="E154" s="282">
        <f t="shared" si="55"/>
        <v>-138.59815540294557</v>
      </c>
      <c r="F154" s="282">
        <f t="shared" si="55"/>
        <v>20.787236813319772</v>
      </c>
      <c r="G154" s="282">
        <f t="shared" si="55"/>
        <v>21.058795377064033</v>
      </c>
      <c r="H154" s="282">
        <f t="shared" si="55"/>
        <v>21.331630266057932</v>
      </c>
      <c r="I154" s="282">
        <f t="shared" si="55"/>
        <v>21.605747479030068</v>
      </c>
      <c r="J154" s="282">
        <f t="shared" si="55"/>
        <v>21.881153042903197</v>
      </c>
      <c r="K154" s="282">
        <f t="shared" si="55"/>
        <v>22.157853012926516</v>
      </c>
      <c r="L154" s="282">
        <f t="shared" si="55"/>
        <v>22.435853472808937</v>
      </c>
      <c r="M154" s="282">
        <f t="shared" si="55"/>
        <v>22.715160534852824</v>
      </c>
      <c r="N154" s="282">
        <f t="shared" si="55"/>
        <v>22.995780340088306</v>
      </c>
      <c r="O154" s="282">
        <f t="shared" si="55"/>
        <v>23.277719058408387</v>
      </c>
      <c r="P154" s="282">
        <f t="shared" si="55"/>
        <v>23.560982888704583</v>
      </c>
      <c r="Q154" s="282">
        <f t="shared" si="55"/>
        <v>23.845578059003167</v>
      </c>
      <c r="R154" s="282">
        <f t="shared" si="55"/>
        <v>24.13151082660216</v>
      </c>
      <c r="S154" s="282">
        <f t="shared" si="55"/>
        <v>24.418787478208866</v>
      </c>
      <c r="T154" s="282">
        <f t="shared" si="55"/>
        <v>24.707414330078119</v>
      </c>
      <c r="U154" s="282">
        <f t="shared" si="55"/>
        <v>24.997397728151153</v>
      </c>
      <c r="V154" s="282">
        <f t="shared" si="55"/>
        <v>25.288744048195134</v>
      </c>
      <c r="W154" s="282">
        <f t="shared" si="55"/>
        <v>25.58145969594333</v>
      </c>
      <c r="X154" s="282">
        <f t="shared" si="55"/>
        <v>25.875551107235939</v>
      </c>
      <c r="Y154" s="282">
        <f t="shared" si="55"/>
        <v>26.171024748161624</v>
      </c>
      <c r="Z154" s="282">
        <f t="shared" si="55"/>
        <v>26.467887115199659</v>
      </c>
      <c r="AA154" s="282">
        <f t="shared" si="55"/>
        <v>26.766144735362762</v>
      </c>
      <c r="AB154" s="282">
        <f t="shared" si="55"/>
        <v>27.065804166340641</v>
      </c>
      <c r="AC154" s="282">
        <f t="shared" si="55"/>
        <v>27.366871996644129</v>
      </c>
      <c r="AD154" s="282">
        <f t="shared" si="55"/>
        <v>27.669354845750018</v>
      </c>
      <c r="AE154" s="282">
        <f t="shared" si="55"/>
        <v>27.973259364246726</v>
      </c>
      <c r="AF154" s="282">
        <f t="shared" si="55"/>
        <v>28.278592233980344</v>
      </c>
      <c r="AG154" s="282">
        <f t="shared" si="55"/>
        <v>28.585360168201742</v>
      </c>
      <c r="AH154" s="282">
        <f t="shared" si="55"/>
        <v>28.893569911713957</v>
      </c>
      <c r="AI154" s="282">
        <f t="shared" si="55"/>
        <v>29.203228241020689</v>
      </c>
      <c r="AJ154" s="282">
        <f t="shared" si="55"/>
        <v>29.514341964475168</v>
      </c>
      <c r="AK154" s="282">
        <f t="shared" si="55"/>
        <v>29.826917922429871</v>
      </c>
      <c r="AL154" s="282">
        <f t="shared" si="55"/>
        <v>30.140962987386974</v>
      </c>
      <c r="AM154" s="282">
        <f t="shared" si="55"/>
        <v>30.456484064149361</v>
      </c>
      <c r="AN154" s="282">
        <f t="shared" si="55"/>
        <v>30.773488089972542</v>
      </c>
      <c r="AO154" s="282">
        <f t="shared" si="55"/>
        <v>31.091982034717084</v>
      </c>
      <c r="AP154" s="282">
        <f t="shared" si="55"/>
        <v>31.411972901001928</v>
      </c>
      <c r="AQ154" s="282">
        <f t="shared" si="55"/>
        <v>31.733467724358309</v>
      </c>
      <c r="AR154" s="282">
        <f t="shared" si="55"/>
        <v>32.056473573384473</v>
      </c>
      <c r="AS154" s="282">
        <f t="shared" si="55"/>
        <v>32.38099754990106</v>
      </c>
      <c r="AT154" s="282">
        <f t="shared" si="55"/>
        <v>32.707046789107267</v>
      </c>
      <c r="AU154" s="282">
        <f t="shared" si="55"/>
        <v>33.034628459737753</v>
      </c>
      <c r="AV154" s="282">
        <f t="shared" si="55"/>
        <v>33.363749764220188</v>
      </c>
      <c r="AW154" s="282">
        <f t="shared" si="55"/>
        <v>33.694417938833709</v>
      </c>
      <c r="AX154" s="282">
        <f t="shared" si="55"/>
        <v>34.026640253867903</v>
      </c>
      <c r="AY154" s="282">
        <f t="shared" si="55"/>
        <v>34.360424013782762</v>
      </c>
      <c r="AZ154" s="282">
        <f t="shared" si="55"/>
        <v>34.695776557369214</v>
      </c>
      <c r="BA154" s="282">
        <f t="shared" si="55"/>
        <v>35.032705257910528</v>
      </c>
      <c r="BB154" s="282">
        <f t="shared" si="55"/>
        <v>35.371217523344377</v>
      </c>
      <c r="BC154" s="282">
        <f t="shared" si="55"/>
        <v>35.711320796425774</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-80.467785478824922</v>
      </c>
      <c r="D156" s="282">
        <f t="shared" ref="D156:BC156" si="56">D154</f>
        <v>-229.14846575333536</v>
      </c>
      <c r="E156" s="282">
        <f t="shared" si="56"/>
        <v>-138.59815540294557</v>
      </c>
      <c r="F156" s="282">
        <f t="shared" si="56"/>
        <v>20.787236813319772</v>
      </c>
      <c r="G156" s="282">
        <f t="shared" si="56"/>
        <v>21.058795377064033</v>
      </c>
      <c r="H156" s="282">
        <f t="shared" si="56"/>
        <v>21.331630266057932</v>
      </c>
      <c r="I156" s="282">
        <f t="shared" si="56"/>
        <v>21.605747479030068</v>
      </c>
      <c r="J156" s="282">
        <f t="shared" si="56"/>
        <v>21.881153042903197</v>
      </c>
      <c r="K156" s="282">
        <f t="shared" si="56"/>
        <v>22.157853012926516</v>
      </c>
      <c r="L156" s="282">
        <f t="shared" si="56"/>
        <v>22.435853472808937</v>
      </c>
      <c r="M156" s="282">
        <f t="shared" si="56"/>
        <v>22.715160534852824</v>
      </c>
      <c r="N156" s="282">
        <f t="shared" si="56"/>
        <v>22.995780340088306</v>
      </c>
      <c r="O156" s="282">
        <f t="shared" si="56"/>
        <v>23.277719058408387</v>
      </c>
      <c r="P156" s="282">
        <f t="shared" si="56"/>
        <v>23.560982888704583</v>
      </c>
      <c r="Q156" s="282">
        <f t="shared" si="56"/>
        <v>23.845578059003167</v>
      </c>
      <c r="R156" s="282">
        <f t="shared" si="56"/>
        <v>24.13151082660216</v>
      </c>
      <c r="S156" s="282">
        <f t="shared" si="56"/>
        <v>24.418787478208866</v>
      </c>
      <c r="T156" s="282">
        <f t="shared" si="56"/>
        <v>24.707414330078119</v>
      </c>
      <c r="U156" s="282">
        <f t="shared" si="56"/>
        <v>24.997397728151153</v>
      </c>
      <c r="V156" s="282">
        <f t="shared" si="56"/>
        <v>25.288744048195134</v>
      </c>
      <c r="W156" s="282">
        <f t="shared" si="56"/>
        <v>25.58145969594333</v>
      </c>
      <c r="X156" s="282">
        <f t="shared" si="56"/>
        <v>25.875551107235939</v>
      </c>
      <c r="Y156" s="282">
        <f t="shared" si="56"/>
        <v>26.171024748161624</v>
      </c>
      <c r="Z156" s="282">
        <f t="shared" si="56"/>
        <v>26.467887115199659</v>
      </c>
      <c r="AA156" s="282">
        <f t="shared" si="56"/>
        <v>26.766144735362762</v>
      </c>
      <c r="AB156" s="282">
        <f t="shared" si="56"/>
        <v>27.065804166340641</v>
      </c>
      <c r="AC156" s="282">
        <f t="shared" si="56"/>
        <v>27.366871996644129</v>
      </c>
      <c r="AD156" s="282">
        <f t="shared" si="56"/>
        <v>27.669354845750018</v>
      </c>
      <c r="AE156" s="282">
        <f t="shared" si="56"/>
        <v>27.973259364246726</v>
      </c>
      <c r="AF156" s="282">
        <f t="shared" si="56"/>
        <v>28.278592233980344</v>
      </c>
      <c r="AG156" s="282">
        <f t="shared" si="56"/>
        <v>28.585360168201742</v>
      </c>
      <c r="AH156" s="282">
        <f t="shared" si="56"/>
        <v>28.893569911713957</v>
      </c>
      <c r="AI156" s="282">
        <f t="shared" si="56"/>
        <v>29.203228241020689</v>
      </c>
      <c r="AJ156" s="282">
        <f t="shared" si="56"/>
        <v>29.514341964475168</v>
      </c>
      <c r="AK156" s="282">
        <f t="shared" si="56"/>
        <v>29.826917922429871</v>
      </c>
      <c r="AL156" s="282">
        <f t="shared" si="56"/>
        <v>30.140962987386974</v>
      </c>
      <c r="AM156" s="282">
        <f t="shared" si="56"/>
        <v>30.456484064149361</v>
      </c>
      <c r="AN156" s="282">
        <f t="shared" si="56"/>
        <v>30.773488089972542</v>
      </c>
      <c r="AO156" s="282">
        <f t="shared" si="56"/>
        <v>31.091982034717084</v>
      </c>
      <c r="AP156" s="282">
        <f t="shared" si="56"/>
        <v>31.411972901001928</v>
      </c>
      <c r="AQ156" s="282">
        <f t="shared" si="56"/>
        <v>31.733467724358309</v>
      </c>
      <c r="AR156" s="282">
        <f t="shared" si="56"/>
        <v>32.056473573384473</v>
      </c>
      <c r="AS156" s="282">
        <f t="shared" si="56"/>
        <v>32.38099754990106</v>
      </c>
      <c r="AT156" s="282">
        <f t="shared" si="56"/>
        <v>32.707046789107267</v>
      </c>
      <c r="AU156" s="282">
        <f t="shared" si="56"/>
        <v>33.034628459737753</v>
      </c>
      <c r="AV156" s="282">
        <f t="shared" si="56"/>
        <v>33.363749764220188</v>
      </c>
      <c r="AW156" s="282">
        <f t="shared" si="56"/>
        <v>33.694417938833709</v>
      </c>
      <c r="AX156" s="282">
        <f t="shared" si="56"/>
        <v>34.026640253867903</v>
      </c>
      <c r="AY156" s="282">
        <f t="shared" si="56"/>
        <v>34.360424013782762</v>
      </c>
      <c r="AZ156" s="282">
        <f t="shared" si="56"/>
        <v>34.695776557369214</v>
      </c>
      <c r="BA156" s="282">
        <f t="shared" si="56"/>
        <v>35.032705257910528</v>
      </c>
      <c r="BB156" s="282">
        <f t="shared" si="56"/>
        <v>35.371217523344377</v>
      </c>
      <c r="BC156" s="282">
        <f t="shared" si="56"/>
        <v>35.711320796425774</v>
      </c>
    </row>
    <row r="157" spans="2:58" s="192" customFormat="1" ht="16.899999999999999" customHeight="1" outlineLevel="1" x14ac:dyDescent="0.25">
      <c r="B157" s="192" t="s">
        <v>416</v>
      </c>
      <c r="C157" s="282">
        <f>C156</f>
        <v>-80.467785478824922</v>
      </c>
      <c r="D157" s="282">
        <f t="shared" ref="D157:BC157" si="57">C157+D156</f>
        <v>-309.61625123216027</v>
      </c>
      <c r="E157" s="282">
        <f t="shared" si="57"/>
        <v>-448.21440663510583</v>
      </c>
      <c r="F157" s="282">
        <f t="shared" si="57"/>
        <v>-427.42716982178604</v>
      </c>
      <c r="G157" s="282">
        <f t="shared" si="57"/>
        <v>-406.36837444472201</v>
      </c>
      <c r="H157" s="282">
        <f t="shared" si="57"/>
        <v>-385.03674417866409</v>
      </c>
      <c r="I157" s="282">
        <f t="shared" si="57"/>
        <v>-363.43099669963402</v>
      </c>
      <c r="J157" s="282">
        <f t="shared" si="57"/>
        <v>-341.54984365673084</v>
      </c>
      <c r="K157" s="282">
        <f t="shared" si="57"/>
        <v>-319.39199064380432</v>
      </c>
      <c r="L157" s="282">
        <f t="shared" si="57"/>
        <v>-296.95613717099536</v>
      </c>
      <c r="M157" s="282">
        <f t="shared" si="57"/>
        <v>-274.24097663614253</v>
      </c>
      <c r="N157" s="282">
        <f t="shared" si="57"/>
        <v>-251.24519629605422</v>
      </c>
      <c r="O157" s="282">
        <f t="shared" si="57"/>
        <v>-227.96747723764582</v>
      </c>
      <c r="P157" s="282">
        <f t="shared" si="57"/>
        <v>-204.40649434894124</v>
      </c>
      <c r="Q157" s="282">
        <f t="shared" si="57"/>
        <v>-180.56091628993806</v>
      </c>
      <c r="R157" s="282">
        <f t="shared" si="57"/>
        <v>-156.42940546333591</v>
      </c>
      <c r="S157" s="282">
        <f t="shared" si="57"/>
        <v>-132.01061798512706</v>
      </c>
      <c r="T157" s="282">
        <f t="shared" si="57"/>
        <v>-107.30320365504893</v>
      </c>
      <c r="U157" s="282">
        <f t="shared" si="57"/>
        <v>-82.305805926897776</v>
      </c>
      <c r="V157" s="282">
        <f t="shared" si="57"/>
        <v>-57.017061878702641</v>
      </c>
      <c r="W157" s="282">
        <f t="shared" si="57"/>
        <v>-31.435602182759311</v>
      </c>
      <c r="X157" s="282">
        <f t="shared" si="57"/>
        <v>-5.5600510755233721</v>
      </c>
      <c r="Y157" s="282">
        <f t="shared" si="57"/>
        <v>20.610973672638252</v>
      </c>
      <c r="Z157" s="282">
        <f t="shared" si="57"/>
        <v>47.078860787837911</v>
      </c>
      <c r="AA157" s="282">
        <f t="shared" si="57"/>
        <v>73.845005523200669</v>
      </c>
      <c r="AB157" s="282">
        <f t="shared" si="57"/>
        <v>100.91080968954131</v>
      </c>
      <c r="AC157" s="282">
        <f t="shared" si="57"/>
        <v>128.27768168618545</v>
      </c>
      <c r="AD157" s="282">
        <f t="shared" si="57"/>
        <v>155.94703653193545</v>
      </c>
      <c r="AE157" s="282">
        <f t="shared" si="57"/>
        <v>183.92029589618218</v>
      </c>
      <c r="AF157" s="282">
        <f t="shared" si="57"/>
        <v>212.19888813016252</v>
      </c>
      <c r="AG157" s="282">
        <f t="shared" si="57"/>
        <v>240.78424829836425</v>
      </c>
      <c r="AH157" s="282">
        <f t="shared" si="57"/>
        <v>269.67781821007821</v>
      </c>
      <c r="AI157" s="282">
        <f t="shared" si="57"/>
        <v>298.88104645109888</v>
      </c>
      <c r="AJ157" s="282">
        <f t="shared" si="57"/>
        <v>328.39538841557408</v>
      </c>
      <c r="AK157" s="282">
        <f t="shared" si="57"/>
        <v>358.22230633800393</v>
      </c>
      <c r="AL157" s="282">
        <f t="shared" si="57"/>
        <v>388.36326932539089</v>
      </c>
      <c r="AM157" s="282">
        <f t="shared" si="57"/>
        <v>418.81975338954027</v>
      </c>
      <c r="AN157" s="282">
        <f t="shared" si="57"/>
        <v>449.59324147951281</v>
      </c>
      <c r="AO157" s="282">
        <f t="shared" si="57"/>
        <v>480.6852235142299</v>
      </c>
      <c r="AP157" s="282">
        <f t="shared" si="57"/>
        <v>512.09719641523179</v>
      </c>
      <c r="AQ157" s="282">
        <f t="shared" si="57"/>
        <v>543.83066413959011</v>
      </c>
      <c r="AR157" s="282">
        <f t="shared" si="57"/>
        <v>575.88713771297455</v>
      </c>
      <c r="AS157" s="282">
        <f t="shared" si="57"/>
        <v>608.2681352628756</v>
      </c>
      <c r="AT157" s="282">
        <f t="shared" si="57"/>
        <v>640.97518205198287</v>
      </c>
      <c r="AU157" s="282">
        <f t="shared" si="57"/>
        <v>674.00981051172062</v>
      </c>
      <c r="AV157" s="282">
        <f t="shared" si="57"/>
        <v>707.3735602759408</v>
      </c>
      <c r="AW157" s="282">
        <f t="shared" si="57"/>
        <v>741.06797821477448</v>
      </c>
      <c r="AX157" s="282">
        <f t="shared" si="57"/>
        <v>775.09461846864235</v>
      </c>
      <c r="AY157" s="282">
        <f t="shared" si="57"/>
        <v>809.45504248242514</v>
      </c>
      <c r="AZ157" s="282">
        <f t="shared" si="57"/>
        <v>844.15081903979433</v>
      </c>
      <c r="BA157" s="282">
        <f t="shared" si="57"/>
        <v>879.18352429770482</v>
      </c>
      <c r="BB157" s="282">
        <f t="shared" si="57"/>
        <v>914.55474182104922</v>
      </c>
      <c r="BC157" s="282">
        <f t="shared" si="57"/>
        <v>950.26606261747497</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-73.325847893953821</v>
      </c>
      <c r="D159" s="285">
        <f t="shared" ref="D159:BC159" si="58">NPV($C$28,D156)</f>
        <v>-208.81033875827899</v>
      </c>
      <c r="E159" s="285">
        <f t="shared" si="58"/>
        <v>-126.29684290408746</v>
      </c>
      <c r="F159" s="285">
        <f t="shared" si="58"/>
        <v>18.942260628139032</v>
      </c>
      <c r="G159" s="285">
        <f t="shared" si="58"/>
        <v>19.189716946477159</v>
      </c>
      <c r="H159" s="285">
        <f t="shared" si="58"/>
        <v>19.438336309511513</v>
      </c>
      <c r="I159" s="285">
        <f t="shared" si="58"/>
        <v>19.688124183552095</v>
      </c>
      <c r="J159" s="285">
        <f t="shared" si="58"/>
        <v>19.93908606060069</v>
      </c>
      <c r="K159" s="285">
        <f t="shared" si="58"/>
        <v>20.191227458471403</v>
      </c>
      <c r="L159" s="285">
        <f t="shared" si="58"/>
        <v>20.444553920912099</v>
      </c>
      <c r="M159" s="285">
        <f t="shared" si="58"/>
        <v>20.699071017726286</v>
      </c>
      <c r="N159" s="285">
        <f t="shared" si="58"/>
        <v>20.954784344895486</v>
      </c>
      <c r="O159" s="285">
        <f t="shared" si="58"/>
        <v>21.211699524702375</v>
      </c>
      <c r="P159" s="285">
        <f t="shared" si="58"/>
        <v>21.469822205854371</v>
      </c>
      <c r="Q159" s="285">
        <f t="shared" si="58"/>
        <v>21.72915806360777</v>
      </c>
      <c r="R159" s="285">
        <f t="shared" si="58"/>
        <v>21.989712799892619</v>
      </c>
      <c r="S159" s="285">
        <f t="shared" si="58"/>
        <v>22.251492143438007</v>
      </c>
      <c r="T159" s="285">
        <f t="shared" si="58"/>
        <v>22.51450184989805</v>
      </c>
      <c r="U159" s="285">
        <f t="shared" si="58"/>
        <v>22.778747701978453</v>
      </c>
      <c r="V159" s="285">
        <f t="shared" si="58"/>
        <v>23.044235509563638</v>
      </c>
      <c r="W159" s="285">
        <f t="shared" si="58"/>
        <v>23.310971109844481</v>
      </c>
      <c r="X159" s="285">
        <f t="shared" si="58"/>
        <v>23.578960367446637</v>
      </c>
      <c r="Y159" s="285">
        <f t="shared" si="58"/>
        <v>23.848209174559528</v>
      </c>
      <c r="Z159" s="285">
        <f t="shared" si="58"/>
        <v>24.118723451065847</v>
      </c>
      <c r="AA159" s="285">
        <f t="shared" si="58"/>
        <v>24.390509144671736</v>
      </c>
      <c r="AB159" s="285">
        <f t="shared" si="58"/>
        <v>24.66357223103758</v>
      </c>
      <c r="AC159" s="285">
        <f t="shared" si="58"/>
        <v>24.937918713909358</v>
      </c>
      <c r="AD159" s="285">
        <f t="shared" si="58"/>
        <v>25.213554625250609</v>
      </c>
      <c r="AE159" s="285">
        <f t="shared" si="58"/>
        <v>25.490486025375183</v>
      </c>
      <c r="AF159" s="285">
        <f t="shared" si="58"/>
        <v>25.768719003080321</v>
      </c>
      <c r="AG159" s="285">
        <f t="shared" si="58"/>
        <v>26.048259675780702</v>
      </c>
      <c r="AH159" s="285">
        <f t="shared" si="58"/>
        <v>26.329114189642755</v>
      </c>
      <c r="AI159" s="285">
        <f t="shared" si="58"/>
        <v>26.611288719719965</v>
      </c>
      <c r="AJ159" s="285">
        <f t="shared" si="58"/>
        <v>26.894789470088547</v>
      </c>
      <c r="AK159" s="285">
        <f t="shared" si="58"/>
        <v>27.179622673983847</v>
      </c>
      <c r="AL159" s="285">
        <f t="shared" si="58"/>
        <v>27.465794593937467</v>
      </c>
      <c r="AM159" s="285">
        <f t="shared" si="58"/>
        <v>27.753311521914856</v>
      </c>
      <c r="AN159" s="285">
        <f t="shared" si="58"/>
        <v>28.04217977945375</v>
      </c>
      <c r="AO159" s="285">
        <f t="shared" si="58"/>
        <v>28.332405717803066</v>
      </c>
      <c r="AP159" s="285">
        <f t="shared" si="58"/>
        <v>28.623995718062631</v>
      </c>
      <c r="AQ159" s="285">
        <f t="shared" si="58"/>
        <v>28.916956191323411</v>
      </c>
      <c r="AR159" s="285">
        <f t="shared" si="58"/>
        <v>29.211293578808526</v>
      </c>
      <c r="AS159" s="285">
        <f t="shared" si="58"/>
        <v>29.507014352014821</v>
      </c>
      <c r="AT159" s="285">
        <f t="shared" si="58"/>
        <v>29.804125012855174</v>
      </c>
      <c r="AU159" s="285">
        <f t="shared" si="58"/>
        <v>30.102632093801489</v>
      </c>
      <c r="AV159" s="285">
        <f t="shared" si="58"/>
        <v>30.40254215802824</v>
      </c>
      <c r="AW159" s="285">
        <f t="shared" si="58"/>
        <v>30.703861799556872</v>
      </c>
      <c r="AX159" s="285">
        <f t="shared" si="58"/>
        <v>31.006597643400678</v>
      </c>
      <c r="AY159" s="285">
        <f t="shared" si="58"/>
        <v>31.310756345710555</v>
      </c>
      <c r="AZ159" s="285">
        <f t="shared" si="58"/>
        <v>31.616344593921283</v>
      </c>
      <c r="BA159" s="285">
        <f t="shared" si="58"/>
        <v>31.923369106898605</v>
      </c>
      <c r="BB159" s="285">
        <f t="shared" si="58"/>
        <v>32.231836635086914</v>
      </c>
      <c r="BC159" s="285">
        <f t="shared" si="58"/>
        <v>32.541753960657715</v>
      </c>
    </row>
    <row r="160" spans="2:58" s="192" customFormat="1" ht="16.899999999999999" customHeight="1" outlineLevel="1" x14ac:dyDescent="0.25">
      <c r="B160" s="286" t="s">
        <v>418</v>
      </c>
      <c r="C160" s="285">
        <f>C159</f>
        <v>-73.325847893953821</v>
      </c>
      <c r="D160" s="285">
        <f t="shared" ref="D160:BC160" si="59">C160+D159</f>
        <v>-282.13618665223282</v>
      </c>
      <c r="E160" s="285">
        <f t="shared" si="59"/>
        <v>-408.43302955632026</v>
      </c>
      <c r="F160" s="285">
        <f t="shared" si="59"/>
        <v>-389.49076892818124</v>
      </c>
      <c r="G160" s="285">
        <f t="shared" si="59"/>
        <v>-370.30105198170406</v>
      </c>
      <c r="H160" s="285">
        <f t="shared" si="59"/>
        <v>-350.86271567219256</v>
      </c>
      <c r="I160" s="285">
        <f t="shared" si="59"/>
        <v>-331.17459148864049</v>
      </c>
      <c r="J160" s="285">
        <f t="shared" si="59"/>
        <v>-311.2355054280398</v>
      </c>
      <c r="K160" s="285">
        <f t="shared" si="59"/>
        <v>-291.04427796956838</v>
      </c>
      <c r="L160" s="285">
        <f t="shared" si="59"/>
        <v>-270.5997240486563</v>
      </c>
      <c r="M160" s="285">
        <f t="shared" si="59"/>
        <v>-249.90065303093002</v>
      </c>
      <c r="N160" s="285">
        <f t="shared" si="59"/>
        <v>-228.94586868603454</v>
      </c>
      <c r="O160" s="285">
        <f t="shared" si="59"/>
        <v>-207.73416916133218</v>
      </c>
      <c r="P160" s="285">
        <f t="shared" si="59"/>
        <v>-186.26434695547781</v>
      </c>
      <c r="Q160" s="285">
        <f t="shared" si="59"/>
        <v>-164.53518889187004</v>
      </c>
      <c r="R160" s="285">
        <f t="shared" si="59"/>
        <v>-142.54547609197741</v>
      </c>
      <c r="S160" s="285">
        <f t="shared" si="59"/>
        <v>-120.29398394853939</v>
      </c>
      <c r="T160" s="285">
        <f t="shared" si="59"/>
        <v>-97.779482098641338</v>
      </c>
      <c r="U160" s="285">
        <f t="shared" si="59"/>
        <v>-75.000734396662892</v>
      </c>
      <c r="V160" s="285">
        <f t="shared" si="59"/>
        <v>-51.956498887099258</v>
      </c>
      <c r="W160" s="285">
        <f t="shared" si="59"/>
        <v>-28.645527777254777</v>
      </c>
      <c r="X160" s="285">
        <f t="shared" si="59"/>
        <v>-5.0665674098081404</v>
      </c>
      <c r="Y160" s="285">
        <f t="shared" si="59"/>
        <v>18.781641764751388</v>
      </c>
      <c r="Z160" s="285">
        <f t="shared" si="59"/>
        <v>42.900365215817232</v>
      </c>
      <c r="AA160" s="285">
        <f t="shared" si="59"/>
        <v>67.290874360488971</v>
      </c>
      <c r="AB160" s="285">
        <f t="shared" si="59"/>
        <v>91.954446591526548</v>
      </c>
      <c r="AC160" s="285">
        <f t="shared" si="59"/>
        <v>116.8923653054359</v>
      </c>
      <c r="AD160" s="285">
        <f t="shared" si="59"/>
        <v>142.10591993068653</v>
      </c>
      <c r="AE160" s="285">
        <f t="shared" si="59"/>
        <v>167.59640595606172</v>
      </c>
      <c r="AF160" s="285">
        <f t="shared" si="59"/>
        <v>193.36512495914204</v>
      </c>
      <c r="AG160" s="285">
        <f t="shared" si="59"/>
        <v>219.41338463492275</v>
      </c>
      <c r="AH160" s="285">
        <f t="shared" si="59"/>
        <v>245.7424988245655</v>
      </c>
      <c r="AI160" s="285">
        <f t="shared" si="59"/>
        <v>272.35378754428547</v>
      </c>
      <c r="AJ160" s="285">
        <f t="shared" si="59"/>
        <v>299.24857701437401</v>
      </c>
      <c r="AK160" s="285">
        <f t="shared" si="59"/>
        <v>326.42819968835784</v>
      </c>
      <c r="AL160" s="285">
        <f t="shared" si="59"/>
        <v>353.8939942822953</v>
      </c>
      <c r="AM160" s="285">
        <f t="shared" si="59"/>
        <v>381.64730580421013</v>
      </c>
      <c r="AN160" s="285">
        <f t="shared" si="59"/>
        <v>409.6894855836639</v>
      </c>
      <c r="AO160" s="285">
        <f t="shared" si="59"/>
        <v>438.02189130146695</v>
      </c>
      <c r="AP160" s="285">
        <f t="shared" si="59"/>
        <v>466.6458870195296</v>
      </c>
      <c r="AQ160" s="285">
        <f t="shared" si="59"/>
        <v>495.56284321085303</v>
      </c>
      <c r="AR160" s="285">
        <f t="shared" si="59"/>
        <v>524.77413678966161</v>
      </c>
      <c r="AS160" s="285">
        <f t="shared" si="59"/>
        <v>554.28115114167645</v>
      </c>
      <c r="AT160" s="285">
        <f t="shared" si="59"/>
        <v>584.08527615453158</v>
      </c>
      <c r="AU160" s="285">
        <f t="shared" si="59"/>
        <v>614.18790824833309</v>
      </c>
      <c r="AV160" s="285">
        <f t="shared" si="59"/>
        <v>644.59045040636136</v>
      </c>
      <c r="AW160" s="285">
        <f t="shared" si="59"/>
        <v>675.29431220591823</v>
      </c>
      <c r="AX160" s="285">
        <f t="shared" si="59"/>
        <v>706.30090984931894</v>
      </c>
      <c r="AY160" s="285">
        <f t="shared" si="59"/>
        <v>737.61166619502944</v>
      </c>
      <c r="AZ160" s="285">
        <f t="shared" si="59"/>
        <v>769.22801078895077</v>
      </c>
      <c r="BA160" s="285">
        <f t="shared" si="59"/>
        <v>801.15137989584935</v>
      </c>
      <c r="BB160" s="285">
        <f t="shared" si="59"/>
        <v>833.38321653093624</v>
      </c>
      <c r="BC160" s="285">
        <f t="shared" si="59"/>
        <v>865.92497049159397</v>
      </c>
    </row>
    <row r="161" spans="1:58" s="192" customFormat="1" ht="16.899999999999999" customHeight="1" outlineLevel="1" x14ac:dyDescent="0.25">
      <c r="B161" s="192" t="s">
        <v>367</v>
      </c>
      <c r="C161" s="282">
        <f t="shared" ref="C161:AH161" si="60">C156/(1+$C$28)^C32</f>
        <v>-80.467785478824922</v>
      </c>
      <c r="D161" s="282">
        <f t="shared" si="60"/>
        <v>-208.81033875827899</v>
      </c>
      <c r="E161" s="282">
        <f t="shared" si="60"/>
        <v>-115.08733634416573</v>
      </c>
      <c r="F161" s="282">
        <f t="shared" si="60"/>
        <v>15.729028382026749</v>
      </c>
      <c r="G161" s="282">
        <f t="shared" si="60"/>
        <v>14.520236874426365</v>
      </c>
      <c r="H161" s="282">
        <f t="shared" si="60"/>
        <v>13.402915152795432</v>
      </c>
      <c r="I161" s="282">
        <f t="shared" si="60"/>
        <v>12.370280876737374</v>
      </c>
      <c r="J161" s="282">
        <f t="shared" si="60"/>
        <v>11.416040812032218</v>
      </c>
      <c r="K161" s="282">
        <f t="shared" si="60"/>
        <v>10.534356953629342</v>
      </c>
      <c r="L161" s="282">
        <f t="shared" si="60"/>
        <v>9.7198148500654398</v>
      </c>
      <c r="M161" s="282">
        <f t="shared" si="60"/>
        <v>8.9673940019481808</v>
      </c>
      <c r="N161" s="282">
        <f t="shared" si="60"/>
        <v>8.2724402127035628</v>
      </c>
      <c r="O161" s="282">
        <f t="shared" si="60"/>
        <v>7.630639775334501</v>
      </c>
      <c r="P161" s="282">
        <f t="shared" si="60"/>
        <v>7.0379953844392702</v>
      </c>
      <c r="Q161" s="282">
        <f t="shared" si="60"/>
        <v>6.4908036681584793</v>
      </c>
      <c r="R161" s="282">
        <f t="shared" si="60"/>
        <v>5.9856342400307136</v>
      </c>
      <c r="S161" s="282">
        <f t="shared" si="60"/>
        <v>5.5193101759178456</v>
      </c>
      <c r="T161" s="282">
        <f t="shared" si="60"/>
        <v>5.0888898261945297</v>
      </c>
      <c r="U161" s="282">
        <f t="shared" si="60"/>
        <v>4.6916498782688958</v>
      </c>
      <c r="V161" s="282">
        <f t="shared" si="60"/>
        <v>4.3250695892032116</v>
      </c>
      <c r="W161" s="282">
        <f t="shared" si="60"/>
        <v>3.9868161127273809</v>
      </c>
      <c r="X161" s="282">
        <f t="shared" si="60"/>
        <v>3.6747308492800252</v>
      </c>
      <c r="Y161" s="282">
        <f t="shared" si="60"/>
        <v>3.386816751869298</v>
      </c>
      <c r="Z161" s="282">
        <f t="shared" si="60"/>
        <v>3.121226524517756</v>
      </c>
      <c r="AA161" s="282">
        <f t="shared" si="60"/>
        <v>2.8762516538437364</v>
      </c>
      <c r="AB161" s="282">
        <f t="shared" si="60"/>
        <v>2.6503122179375325</v>
      </c>
      <c r="AC161" s="282">
        <f t="shared" si="60"/>
        <v>2.4419474201177218</v>
      </c>
      <c r="AD161" s="282">
        <f t="shared" si="60"/>
        <v>2.2498067984049492</v>
      </c>
      <c r="AE161" s="282">
        <f t="shared" si="60"/>
        <v>2.0726420646321695</v>
      </c>
      <c r="AF161" s="282">
        <f t="shared" si="60"/>
        <v>1.9092995300266773</v>
      </c>
      <c r="AG161" s="282">
        <f t="shared" si="60"/>
        <v>1.7587130768560422</v>
      </c>
      <c r="AH161" s="282">
        <f t="shared" si="60"/>
        <v>1.6198976383327368</v>
      </c>
      <c r="AI161" s="282">
        <f t="shared" ref="AI161:BC161" si="61">AI156/(1+$C$28)^AI32</f>
        <v>1.4919431514272115</v>
      </c>
      <c r="AJ161" s="282">
        <f t="shared" si="61"/>
        <v>1.3740089495521079</v>
      </c>
      <c r="AK161" s="282">
        <f t="shared" si="61"/>
        <v>1.2653185642577913</v>
      </c>
      <c r="AL161" s="282">
        <f t="shared" si="61"/>
        <v>1.1651549071272325</v>
      </c>
      <c r="AM161" s="282">
        <f t="shared" si="61"/>
        <v>1.072855804982801</v>
      </c>
      <c r="AN161" s="282">
        <f t="shared" si="61"/>
        <v>0.98780986332469967</v>
      </c>
      <c r="AO161" s="282">
        <f t="shared" si="61"/>
        <v>0.90945263461643433</v>
      </c>
      <c r="AP161" s="282">
        <f t="shared" si="61"/>
        <v>0.8372630696227169</v>
      </c>
      <c r="AQ161" s="282">
        <f t="shared" si="61"/>
        <v>0.77076023149506867</v>
      </c>
      <c r="AR161" s="282">
        <f t="shared" si="61"/>
        <v>0.70950025369558467</v>
      </c>
      <c r="AS161" s="282">
        <f t="shared" si="61"/>
        <v>0.65307352415506081</v>
      </c>
      <c r="AT161" s="282">
        <f t="shared" si="61"/>
        <v>0.6011020792830023</v>
      </c>
      <c r="AU161" s="282">
        <f t="shared" si="61"/>
        <v>0.55323719258877202</v>
      </c>
      <c r="AV161" s="282">
        <f t="shared" si="61"/>
        <v>0.50915714373991328</v>
      </c>
      <c r="AW161" s="282">
        <f t="shared" si="61"/>
        <v>0.4685651548799406</v>
      </c>
      <c r="AX161" s="282">
        <f t="shared" si="61"/>
        <v>0.43118748195781809</v>
      </c>
      <c r="AY161" s="282">
        <f t="shared" si="61"/>
        <v>0.39677164968901196</v>
      </c>
      <c r="AZ161" s="282">
        <f t="shared" si="61"/>
        <v>0.365084819577155</v>
      </c>
      <c r="BA161" s="282">
        <f t="shared" si="61"/>
        <v>0.33591228117969857</v>
      </c>
      <c r="BB161" s="282">
        <f t="shared" si="61"/>
        <v>0.30905605750382725</v>
      </c>
      <c r="BC161" s="282">
        <f t="shared" si="61"/>
        <v>0.28433361607365754</v>
      </c>
    </row>
    <row r="162" spans="1:58" s="192" customFormat="1" ht="16.899999999999999" customHeight="1" outlineLevel="1" x14ac:dyDescent="0.25">
      <c r="B162" s="275" t="s">
        <v>368</v>
      </c>
      <c r="C162" s="282">
        <f>C161</f>
        <v>-80.467785478824922</v>
      </c>
      <c r="D162" s="282">
        <f t="shared" ref="D162:BC162" si="62">C162+D161</f>
        <v>-289.2781242371039</v>
      </c>
      <c r="E162" s="282">
        <f t="shared" si="62"/>
        <v>-404.36546058126964</v>
      </c>
      <c r="F162" s="282">
        <f t="shared" si="62"/>
        <v>-388.6364321992429</v>
      </c>
      <c r="G162" s="282">
        <f t="shared" si="62"/>
        <v>-374.11619532481654</v>
      </c>
      <c r="H162" s="282">
        <f t="shared" si="62"/>
        <v>-360.71328017202109</v>
      </c>
      <c r="I162" s="282">
        <f t="shared" si="62"/>
        <v>-348.34299929528373</v>
      </c>
      <c r="J162" s="282">
        <f t="shared" si="62"/>
        <v>-336.9269584832515</v>
      </c>
      <c r="K162" s="282">
        <f t="shared" si="62"/>
        <v>-326.39260152962214</v>
      </c>
      <c r="L162" s="282">
        <f t="shared" si="62"/>
        <v>-316.67278667955668</v>
      </c>
      <c r="M162" s="282">
        <f t="shared" si="62"/>
        <v>-307.70539267760847</v>
      </c>
      <c r="N162" s="282">
        <f t="shared" si="62"/>
        <v>-299.43295246490493</v>
      </c>
      <c r="O162" s="282">
        <f t="shared" si="62"/>
        <v>-291.80231268957044</v>
      </c>
      <c r="P162" s="282">
        <f t="shared" si="62"/>
        <v>-284.76431730513116</v>
      </c>
      <c r="Q162" s="282">
        <f t="shared" si="62"/>
        <v>-278.27351363697267</v>
      </c>
      <c r="R162" s="282">
        <f t="shared" si="62"/>
        <v>-272.28787939694195</v>
      </c>
      <c r="S162" s="282">
        <f t="shared" si="62"/>
        <v>-266.76856922102411</v>
      </c>
      <c r="T162" s="282">
        <f t="shared" si="62"/>
        <v>-261.67967939482958</v>
      </c>
      <c r="U162" s="282">
        <f t="shared" si="62"/>
        <v>-256.98802951656069</v>
      </c>
      <c r="V162" s="282">
        <f t="shared" si="62"/>
        <v>-252.66295992735746</v>
      </c>
      <c r="W162" s="282">
        <f t="shared" si="62"/>
        <v>-248.67614381463008</v>
      </c>
      <c r="X162" s="282">
        <f t="shared" si="62"/>
        <v>-245.00141296535006</v>
      </c>
      <c r="Y162" s="282">
        <f t="shared" si="62"/>
        <v>-241.61459621348075</v>
      </c>
      <c r="Z162" s="282">
        <f t="shared" si="62"/>
        <v>-238.49336968896299</v>
      </c>
      <c r="AA162" s="282">
        <f t="shared" si="62"/>
        <v>-235.61711803511926</v>
      </c>
      <c r="AB162" s="282">
        <f t="shared" si="62"/>
        <v>-232.96680581718172</v>
      </c>
      <c r="AC162" s="282">
        <f t="shared" si="62"/>
        <v>-230.52485839706401</v>
      </c>
      <c r="AD162" s="282">
        <f t="shared" si="62"/>
        <v>-228.27505159865905</v>
      </c>
      <c r="AE162" s="282">
        <f t="shared" si="62"/>
        <v>-226.20240953402688</v>
      </c>
      <c r="AF162" s="282">
        <f t="shared" si="62"/>
        <v>-224.2931100040002</v>
      </c>
      <c r="AG162" s="282">
        <f t="shared" si="62"/>
        <v>-222.53439692714414</v>
      </c>
      <c r="AH162" s="282">
        <f t="shared" si="62"/>
        <v>-220.91449928881141</v>
      </c>
      <c r="AI162" s="282">
        <f t="shared" si="62"/>
        <v>-219.42255613738419</v>
      </c>
      <c r="AJ162" s="282">
        <f t="shared" si="62"/>
        <v>-218.04854718783207</v>
      </c>
      <c r="AK162" s="282">
        <f t="shared" si="62"/>
        <v>-216.78322862357427</v>
      </c>
      <c r="AL162" s="282">
        <f t="shared" si="62"/>
        <v>-215.61807371644704</v>
      </c>
      <c r="AM162" s="282">
        <f t="shared" si="62"/>
        <v>-214.54521791146425</v>
      </c>
      <c r="AN162" s="282">
        <f t="shared" si="62"/>
        <v>-213.55740804813954</v>
      </c>
      <c r="AO162" s="282">
        <f t="shared" si="62"/>
        <v>-212.64795541352311</v>
      </c>
      <c r="AP162" s="282">
        <f t="shared" si="62"/>
        <v>-211.8106923439004</v>
      </c>
      <c r="AQ162" s="282">
        <f t="shared" si="62"/>
        <v>-211.03993211240532</v>
      </c>
      <c r="AR162" s="282">
        <f t="shared" si="62"/>
        <v>-210.33043185870974</v>
      </c>
      <c r="AS162" s="282">
        <f t="shared" si="62"/>
        <v>-209.6773583345547</v>
      </c>
      <c r="AT162" s="282">
        <f t="shared" si="62"/>
        <v>-209.07625625527169</v>
      </c>
      <c r="AU162" s="282">
        <f t="shared" si="62"/>
        <v>-208.52301906268292</v>
      </c>
      <c r="AV162" s="282">
        <f t="shared" si="62"/>
        <v>-208.01386191894301</v>
      </c>
      <c r="AW162" s="282">
        <f t="shared" si="62"/>
        <v>-207.54529676406307</v>
      </c>
      <c r="AX162" s="282">
        <f t="shared" si="62"/>
        <v>-207.11410928210526</v>
      </c>
      <c r="AY162" s="282">
        <f t="shared" si="62"/>
        <v>-206.71733763241625</v>
      </c>
      <c r="AZ162" s="282">
        <f t="shared" si="62"/>
        <v>-206.35225281283908</v>
      </c>
      <c r="BA162" s="282">
        <f t="shared" si="62"/>
        <v>-206.01634053165938</v>
      </c>
      <c r="BB162" s="282">
        <f t="shared" si="62"/>
        <v>-205.70728447415556</v>
      </c>
      <c r="BC162" s="282">
        <f t="shared" si="62"/>
        <v>-205.42295085808189</v>
      </c>
    </row>
    <row r="163" spans="1:58" s="192" customFormat="1" ht="16.899999999999999" customHeight="1" outlineLevel="1" x14ac:dyDescent="0.25">
      <c r="B163" s="275" t="s">
        <v>369</v>
      </c>
      <c r="C163" s="282">
        <f t="shared" ref="C163:AH163" si="63">C63/(1+$C$28)^C32</f>
        <v>164.34109731186339</v>
      </c>
      <c r="D163" s="282">
        <f t="shared" si="63"/>
        <v>285.60915125476845</v>
      </c>
      <c r="E163" s="282">
        <f t="shared" si="63"/>
        <v>185.40831923677794</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0.21245064452105322</v>
      </c>
      <c r="Z164" s="287">
        <f t="shared" si="65"/>
        <v>0</v>
      </c>
      <c r="AA164" s="287">
        <f t="shared" si="65"/>
        <v>0</v>
      </c>
      <c r="AB164" s="287">
        <f t="shared" si="65"/>
        <v>0</v>
      </c>
      <c r="AC164" s="287">
        <f t="shared" si="65"/>
        <v>0</v>
      </c>
      <c r="AD164" s="287">
        <f t="shared" si="65"/>
        <v>0</v>
      </c>
      <c r="AE164" s="287">
        <f t="shared" si="65"/>
        <v>0</v>
      </c>
      <c r="AF164" s="287">
        <f t="shared" si="65"/>
        <v>0</v>
      </c>
      <c r="AG164" s="287">
        <f t="shared" si="65"/>
        <v>0</v>
      </c>
      <c r="AH164" s="287">
        <f t="shared" si="65"/>
        <v>0</v>
      </c>
      <c r="AI164" s="287">
        <f t="shared" si="65"/>
        <v>0</v>
      </c>
      <c r="AJ164" s="287">
        <f t="shared" si="65"/>
        <v>0</v>
      </c>
      <c r="AK164" s="287">
        <f t="shared" si="65"/>
        <v>0</v>
      </c>
      <c r="AL164" s="287">
        <f t="shared" si="65"/>
        <v>0</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3.538361360882547E-2</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115.03876811830436</v>
      </c>
      <c r="D167" s="282">
        <f t="shared" ref="D167:BC167" si="66">D63*(1-$D$14)</f>
        <v>219.399237810888</v>
      </c>
      <c r="E167" s="282">
        <f t="shared" si="66"/>
        <v>156.29934883549345</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115.03876811830436</v>
      </c>
      <c r="D168" s="282">
        <f t="shared" ref="D168:BC168" si="67">C173+D167</f>
        <v>334.43800592919234</v>
      </c>
      <c r="E168" s="282">
        <f t="shared" si="67"/>
        <v>490.73735476468579</v>
      </c>
      <c r="F168" s="282">
        <f t="shared" si="67"/>
        <v>490.73735476468579</v>
      </c>
      <c r="G168" s="282">
        <f t="shared" si="67"/>
        <v>466.20048702645153</v>
      </c>
      <c r="H168" s="282">
        <f t="shared" si="67"/>
        <v>441.66361928821726</v>
      </c>
      <c r="I168" s="282">
        <f t="shared" si="67"/>
        <v>417.126751549983</v>
      </c>
      <c r="J168" s="282">
        <f t="shared" si="67"/>
        <v>392.58988381174873</v>
      </c>
      <c r="K168" s="282">
        <f t="shared" si="67"/>
        <v>368.05301607351447</v>
      </c>
      <c r="L168" s="282">
        <f t="shared" si="67"/>
        <v>343.51614833528021</v>
      </c>
      <c r="M168" s="282">
        <f t="shared" si="67"/>
        <v>318.97928059704594</v>
      </c>
      <c r="N168" s="282">
        <f t="shared" si="67"/>
        <v>294.44241285881168</v>
      </c>
      <c r="O168" s="282">
        <f t="shared" si="67"/>
        <v>269.90554512057741</v>
      </c>
      <c r="P168" s="282">
        <f t="shared" si="67"/>
        <v>245.36867738234312</v>
      </c>
      <c r="Q168" s="282">
        <f t="shared" si="67"/>
        <v>220.83180964410883</v>
      </c>
      <c r="R168" s="282">
        <f t="shared" si="67"/>
        <v>196.29494190587454</v>
      </c>
      <c r="S168" s="282">
        <f t="shared" si="67"/>
        <v>171.75807416764025</v>
      </c>
      <c r="T168" s="282">
        <f t="shared" si="67"/>
        <v>147.22120642940595</v>
      </c>
      <c r="U168" s="282">
        <f t="shared" si="67"/>
        <v>122.68433869117166</v>
      </c>
      <c r="V168" s="282">
        <f t="shared" si="67"/>
        <v>98.147470952937368</v>
      </c>
      <c r="W168" s="282">
        <f t="shared" si="67"/>
        <v>73.610603214703076</v>
      </c>
      <c r="X168" s="282">
        <f t="shared" si="67"/>
        <v>49.073735476468784</v>
      </c>
      <c r="Y168" s="282">
        <f t="shared" si="67"/>
        <v>24.536867738234495</v>
      </c>
      <c r="Z168" s="282">
        <f t="shared" si="67"/>
        <v>2.0605739337042905E-13</v>
      </c>
      <c r="AA168" s="282">
        <f t="shared" si="67"/>
        <v>2.0605739337042905E-13</v>
      </c>
      <c r="AB168" s="282">
        <f t="shared" si="67"/>
        <v>2.0605739337042905E-13</v>
      </c>
      <c r="AC168" s="282">
        <f t="shared" si="67"/>
        <v>2.0605739337042905E-13</v>
      </c>
      <c r="AD168" s="282">
        <f t="shared" si="67"/>
        <v>2.0605739337042905E-13</v>
      </c>
      <c r="AE168" s="282">
        <f t="shared" si="67"/>
        <v>2.0605739337042905E-13</v>
      </c>
      <c r="AF168" s="282">
        <f t="shared" si="67"/>
        <v>2.0605739337042905E-13</v>
      </c>
      <c r="AG168" s="282">
        <f t="shared" si="67"/>
        <v>2.0605739337042905E-13</v>
      </c>
      <c r="AH168" s="282">
        <f t="shared" si="67"/>
        <v>2.0605739337042905E-13</v>
      </c>
      <c r="AI168" s="282">
        <f t="shared" si="67"/>
        <v>2.0605739337042905E-13</v>
      </c>
      <c r="AJ168" s="282">
        <f t="shared" si="67"/>
        <v>2.0605739337042905E-13</v>
      </c>
      <c r="AK168" s="282">
        <f t="shared" si="67"/>
        <v>2.0605739337042905E-13</v>
      </c>
      <c r="AL168" s="282">
        <f t="shared" si="67"/>
        <v>2.0605739337042905E-13</v>
      </c>
      <c r="AM168" s="282">
        <f t="shared" si="67"/>
        <v>2.0605739337042905E-13</v>
      </c>
      <c r="AN168" s="282">
        <f t="shared" si="67"/>
        <v>2.0605739337042905E-13</v>
      </c>
      <c r="AO168" s="282">
        <f t="shared" si="67"/>
        <v>2.0605739337042905E-13</v>
      </c>
      <c r="AP168" s="282">
        <f t="shared" si="67"/>
        <v>2.0605739337042905E-13</v>
      </c>
      <c r="AQ168" s="282">
        <f t="shared" si="67"/>
        <v>2.0605739337042905E-13</v>
      </c>
      <c r="AR168" s="282">
        <f t="shared" si="67"/>
        <v>2.0605739337042905E-13</v>
      </c>
      <c r="AS168" s="282">
        <f t="shared" si="67"/>
        <v>2.0605739337042905E-13</v>
      </c>
      <c r="AT168" s="282">
        <f t="shared" si="67"/>
        <v>2.0605739337042905E-13</v>
      </c>
      <c r="AU168" s="282">
        <f t="shared" si="67"/>
        <v>2.0605739337042905E-13</v>
      </c>
      <c r="AV168" s="282">
        <f t="shared" si="67"/>
        <v>2.0605739337042905E-13</v>
      </c>
      <c r="AW168" s="282">
        <f t="shared" si="67"/>
        <v>2.0605739337042905E-13</v>
      </c>
      <c r="AX168" s="282">
        <f t="shared" si="67"/>
        <v>2.0605739337042905E-13</v>
      </c>
      <c r="AY168" s="282">
        <f t="shared" si="67"/>
        <v>2.0605739337042905E-13</v>
      </c>
      <c r="AZ168" s="282">
        <f t="shared" si="67"/>
        <v>2.0605739337042905E-13</v>
      </c>
      <c r="BA168" s="282">
        <f t="shared" si="67"/>
        <v>2.0605739337042905E-13</v>
      </c>
      <c r="BB168" s="282">
        <f t="shared" si="67"/>
        <v>2.0605739337042905E-13</v>
      </c>
      <c r="BC168" s="282">
        <f t="shared" si="67"/>
        <v>2.0605739337042905E-13</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-24.536867738234289</v>
      </c>
      <c r="G171" s="282">
        <f t="shared" si="70"/>
        <v>-24.536867738234289</v>
      </c>
      <c r="H171" s="282">
        <f t="shared" si="70"/>
        <v>-24.536867738234289</v>
      </c>
      <c r="I171" s="282">
        <f t="shared" si="70"/>
        <v>-24.536867738234289</v>
      </c>
      <c r="J171" s="282">
        <f t="shared" si="70"/>
        <v>-24.536867738234289</v>
      </c>
      <c r="K171" s="282">
        <f t="shared" si="70"/>
        <v>-24.536867738234289</v>
      </c>
      <c r="L171" s="282">
        <f t="shared" si="70"/>
        <v>-24.536867738234289</v>
      </c>
      <c r="M171" s="282">
        <f t="shared" si="70"/>
        <v>-24.536867738234289</v>
      </c>
      <c r="N171" s="282">
        <f t="shared" si="70"/>
        <v>-24.536867738234289</v>
      </c>
      <c r="O171" s="282">
        <f t="shared" si="70"/>
        <v>-24.536867738234289</v>
      </c>
      <c r="P171" s="282">
        <f t="shared" si="70"/>
        <v>-24.536867738234289</v>
      </c>
      <c r="Q171" s="282">
        <f t="shared" si="70"/>
        <v>-24.536867738234289</v>
      </c>
      <c r="R171" s="282">
        <f t="shared" si="70"/>
        <v>-24.536867738234289</v>
      </c>
      <c r="S171" s="282">
        <f t="shared" si="70"/>
        <v>-24.536867738234289</v>
      </c>
      <c r="T171" s="282">
        <f t="shared" si="70"/>
        <v>-24.536867738234289</v>
      </c>
      <c r="U171" s="282">
        <f t="shared" si="70"/>
        <v>-24.536867738234289</v>
      </c>
      <c r="V171" s="282">
        <f t="shared" si="70"/>
        <v>-24.536867738234289</v>
      </c>
      <c r="W171" s="282">
        <f t="shared" si="70"/>
        <v>-24.536867738234289</v>
      </c>
      <c r="X171" s="282">
        <f t="shared" si="70"/>
        <v>-24.536867738234289</v>
      </c>
      <c r="Y171" s="282">
        <f t="shared" si="70"/>
        <v>-24.536867738234289</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-5.0041864131462397</v>
      </c>
      <c r="E172" s="282">
        <f t="shared" si="72"/>
        <v>-14.548053257919866</v>
      </c>
      <c r="F172" s="282">
        <f t="shared" si="72"/>
        <v>-24.536867738234292</v>
      </c>
      <c r="G172" s="282">
        <f t="shared" si="72"/>
        <v>-23.310024351322578</v>
      </c>
      <c r="H172" s="282">
        <f t="shared" si="72"/>
        <v>-22.083180964410865</v>
      </c>
      <c r="I172" s="282">
        <f t="shared" si="72"/>
        <v>-20.856337577499151</v>
      </c>
      <c r="J172" s="282">
        <f t="shared" si="72"/>
        <v>-19.629494190587437</v>
      </c>
      <c r="K172" s="282">
        <f t="shared" si="72"/>
        <v>-18.402650803675723</v>
      </c>
      <c r="L172" s="282">
        <f t="shared" si="72"/>
        <v>-17.175807416764012</v>
      </c>
      <c r="M172" s="282">
        <f t="shared" si="72"/>
        <v>-15.948964029852299</v>
      </c>
      <c r="N172" s="282">
        <f t="shared" si="72"/>
        <v>-14.722120642940585</v>
      </c>
      <c r="O172" s="282">
        <f t="shared" si="72"/>
        <v>-13.495277256028871</v>
      </c>
      <c r="P172" s="282">
        <f t="shared" si="72"/>
        <v>-12.268433869117157</v>
      </c>
      <c r="Q172" s="282">
        <f t="shared" si="72"/>
        <v>-11.041590482205443</v>
      </c>
      <c r="R172" s="282">
        <f t="shared" si="72"/>
        <v>-9.8147470952937272</v>
      </c>
      <c r="S172" s="282">
        <f t="shared" si="72"/>
        <v>-8.5879037083820133</v>
      </c>
      <c r="T172" s="282">
        <f t="shared" si="72"/>
        <v>-7.3610603214702977</v>
      </c>
      <c r="U172" s="282">
        <f t="shared" si="72"/>
        <v>-6.1342169345585837</v>
      </c>
      <c r="V172" s="282">
        <f t="shared" si="72"/>
        <v>-4.9073735476468689</v>
      </c>
      <c r="W172" s="282">
        <f t="shared" si="72"/>
        <v>-3.6805301607351542</v>
      </c>
      <c r="X172" s="282">
        <f t="shared" si="72"/>
        <v>-2.4536867738234394</v>
      </c>
      <c r="Y172" s="282">
        <f t="shared" si="72"/>
        <v>-1.2268433869117248</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115.03876811830436</v>
      </c>
      <c r="D173" s="282">
        <f t="shared" ref="D173:BC173" si="74">D168+D171</f>
        <v>334.43800592919234</v>
      </c>
      <c r="E173" s="282">
        <f t="shared" si="74"/>
        <v>490.73735476468579</v>
      </c>
      <c r="F173" s="282">
        <f t="shared" si="74"/>
        <v>466.20048702645153</v>
      </c>
      <c r="G173" s="282">
        <f t="shared" si="74"/>
        <v>441.66361928821726</v>
      </c>
      <c r="H173" s="282">
        <f t="shared" si="74"/>
        <v>417.126751549983</v>
      </c>
      <c r="I173" s="282">
        <f t="shared" si="74"/>
        <v>392.58988381174873</v>
      </c>
      <c r="J173" s="282">
        <f t="shared" si="74"/>
        <v>368.05301607351447</v>
      </c>
      <c r="K173" s="282">
        <f t="shared" si="74"/>
        <v>343.51614833528021</v>
      </c>
      <c r="L173" s="282">
        <f t="shared" si="74"/>
        <v>318.97928059704594</v>
      </c>
      <c r="M173" s="282">
        <f t="shared" si="74"/>
        <v>294.44241285881168</v>
      </c>
      <c r="N173" s="282">
        <f t="shared" si="74"/>
        <v>269.90554512057741</v>
      </c>
      <c r="O173" s="282">
        <f t="shared" si="74"/>
        <v>245.36867738234312</v>
      </c>
      <c r="P173" s="282">
        <f t="shared" si="74"/>
        <v>220.83180964410883</v>
      </c>
      <c r="Q173" s="282">
        <f t="shared" si="74"/>
        <v>196.29494190587454</v>
      </c>
      <c r="R173" s="282">
        <f t="shared" si="74"/>
        <v>171.75807416764025</v>
      </c>
      <c r="S173" s="282">
        <f t="shared" si="74"/>
        <v>147.22120642940595</v>
      </c>
      <c r="T173" s="282">
        <f t="shared" si="74"/>
        <v>122.68433869117166</v>
      </c>
      <c r="U173" s="282">
        <f t="shared" si="74"/>
        <v>98.147470952937368</v>
      </c>
      <c r="V173" s="282">
        <f t="shared" si="74"/>
        <v>73.610603214703076</v>
      </c>
      <c r="W173" s="282">
        <f t="shared" si="74"/>
        <v>49.073735476468784</v>
      </c>
      <c r="X173" s="282">
        <f t="shared" si="74"/>
        <v>24.536867738234495</v>
      </c>
      <c r="Y173" s="282">
        <f t="shared" si="74"/>
        <v>2.0605739337042905E-13</v>
      </c>
      <c r="Z173" s="282">
        <f t="shared" si="74"/>
        <v>2.0605739337042905E-13</v>
      </c>
      <c r="AA173" s="282">
        <f t="shared" si="74"/>
        <v>2.0605739337042905E-13</v>
      </c>
      <c r="AB173" s="282">
        <f t="shared" si="74"/>
        <v>2.0605739337042905E-13</v>
      </c>
      <c r="AC173" s="282">
        <f t="shared" si="74"/>
        <v>2.0605739337042905E-13</v>
      </c>
      <c r="AD173" s="282">
        <f t="shared" si="74"/>
        <v>2.0605739337042905E-13</v>
      </c>
      <c r="AE173" s="282">
        <f t="shared" si="74"/>
        <v>2.0605739337042905E-13</v>
      </c>
      <c r="AF173" s="282">
        <f t="shared" si="74"/>
        <v>2.0605739337042905E-13</v>
      </c>
      <c r="AG173" s="282">
        <f t="shared" si="74"/>
        <v>2.0605739337042905E-13</v>
      </c>
      <c r="AH173" s="282">
        <f t="shared" si="74"/>
        <v>2.0605739337042905E-13</v>
      </c>
      <c r="AI173" s="282">
        <f t="shared" si="74"/>
        <v>2.0605739337042905E-13</v>
      </c>
      <c r="AJ173" s="282">
        <f t="shared" si="74"/>
        <v>2.0605739337042905E-13</v>
      </c>
      <c r="AK173" s="282">
        <f t="shared" si="74"/>
        <v>2.0605739337042905E-13</v>
      </c>
      <c r="AL173" s="282">
        <f t="shared" si="74"/>
        <v>2.0605739337042905E-13</v>
      </c>
      <c r="AM173" s="282">
        <f t="shared" si="74"/>
        <v>2.0605739337042905E-13</v>
      </c>
      <c r="AN173" s="282">
        <f t="shared" si="74"/>
        <v>2.0605739337042905E-13</v>
      </c>
      <c r="AO173" s="282">
        <f t="shared" si="74"/>
        <v>2.0605739337042905E-13</v>
      </c>
      <c r="AP173" s="282">
        <f t="shared" si="74"/>
        <v>2.0605739337042905E-13</v>
      </c>
      <c r="AQ173" s="282">
        <f t="shared" si="74"/>
        <v>2.0605739337042905E-13</v>
      </c>
      <c r="AR173" s="282">
        <f t="shared" si="74"/>
        <v>2.0605739337042905E-13</v>
      </c>
      <c r="AS173" s="282">
        <f t="shared" si="74"/>
        <v>2.0605739337042905E-13</v>
      </c>
      <c r="AT173" s="282">
        <f t="shared" si="74"/>
        <v>2.0605739337042905E-13</v>
      </c>
      <c r="AU173" s="282">
        <f t="shared" si="74"/>
        <v>2.0605739337042905E-13</v>
      </c>
      <c r="AV173" s="282">
        <f t="shared" si="74"/>
        <v>2.0605739337042905E-13</v>
      </c>
      <c r="AW173" s="282">
        <f t="shared" si="74"/>
        <v>2.0605739337042905E-13</v>
      </c>
      <c r="AX173" s="282">
        <f t="shared" si="74"/>
        <v>2.0605739337042905E-13</v>
      </c>
      <c r="AY173" s="282">
        <f t="shared" si="74"/>
        <v>2.0605739337042905E-13</v>
      </c>
      <c r="AZ173" s="282">
        <f t="shared" si="74"/>
        <v>2.0605739337042905E-13</v>
      </c>
      <c r="BA173" s="282">
        <f t="shared" si="74"/>
        <v>2.0605739337042905E-13</v>
      </c>
      <c r="BB173" s="282">
        <f t="shared" si="74"/>
        <v>2.0605739337042905E-13</v>
      </c>
      <c r="BC173" s="282">
        <f t="shared" si="74"/>
        <v>2.0605739337042905E-13</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39.318004528130281</v>
      </c>
      <c r="D175" s="282">
        <f t="shared" ref="D175:BC175" si="75">D156+D167+D171+D172-D148+D35*$H$29*(1-0.0925-$C$10)/1000000+D149</f>
        <v>-9.9840814640661097</v>
      </c>
      <c r="E175" s="282">
        <f t="shared" si="75"/>
        <v>7.9448889307457007</v>
      </c>
      <c r="F175" s="282">
        <f t="shared" si="75"/>
        <v>-23.472228687877397</v>
      </c>
      <c r="G175" s="282">
        <f t="shared" si="75"/>
        <v>-21.951199668337622</v>
      </c>
      <c r="H175" s="282">
        <f t="shared" si="75"/>
        <v>-20.428787976324507</v>
      </c>
      <c r="I175" s="282">
        <f t="shared" si="75"/>
        <v>-18.9049871132774</v>
      </c>
      <c r="J175" s="282">
        <f t="shared" si="75"/>
        <v>-17.379790550092487</v>
      </c>
      <c r="K175" s="282">
        <f t="shared" si="75"/>
        <v>-15.853191726979055</v>
      </c>
      <c r="L175" s="282">
        <f t="shared" si="75"/>
        <v>-14.325184053315475</v>
      </c>
      <c r="M175" s="282">
        <f t="shared" si="75"/>
        <v>-12.795760907504198</v>
      </c>
      <c r="N175" s="282">
        <f t="shared" si="75"/>
        <v>-11.264915636826059</v>
      </c>
      <c r="O175" s="282">
        <f t="shared" si="75"/>
        <v>-9.7326415572942295</v>
      </c>
      <c r="P175" s="282">
        <f t="shared" si="75"/>
        <v>-8.1989319535071097</v>
      </c>
      <c r="Q175" s="282">
        <f t="shared" si="75"/>
        <v>-6.6637800785006398</v>
      </c>
      <c r="R175" s="282">
        <f t="shared" si="75"/>
        <v>-5.127179153600137</v>
      </c>
      <c r="S175" s="282">
        <f t="shared" si="75"/>
        <v>-3.5891223682710938</v>
      </c>
      <c r="T175" s="282">
        <f t="shared" si="75"/>
        <v>-2.0496028799694708</v>
      </c>
      <c r="U175" s="282">
        <f t="shared" si="75"/>
        <v>-0.50861381399133254</v>
      </c>
      <c r="V175" s="282">
        <f t="shared" si="75"/>
        <v>1.0338517366784252</v>
      </c>
      <c r="W175" s="282">
        <f t="shared" si="75"/>
        <v>2.5778007115178307</v>
      </c>
      <c r="X175" s="282">
        <f t="shared" si="75"/>
        <v>4.1232400826205176</v>
      </c>
      <c r="Y175" s="282">
        <f t="shared" si="75"/>
        <v>5.670176854848874</v>
      </c>
      <c r="Z175" s="282">
        <f t="shared" si="75"/>
        <v>31.755485804222552</v>
      </c>
      <c r="AA175" s="282">
        <f t="shared" si="75"/>
        <v>32.078595138224074</v>
      </c>
      <c r="AB175" s="282">
        <f t="shared" si="75"/>
        <v>32.403223086095416</v>
      </c>
      <c r="AC175" s="282">
        <f t="shared" si="75"/>
        <v>32.729376785321712</v>
      </c>
      <c r="AD175" s="282">
        <f t="shared" si="75"/>
        <v>33.057063406934404</v>
      </c>
      <c r="AE175" s="282">
        <f t="shared" si="75"/>
        <v>33.386290155668654</v>
      </c>
      <c r="AF175" s="282">
        <f t="shared" si="75"/>
        <v>33.71706427012198</v>
      </c>
      <c r="AG175" s="282">
        <f t="shared" si="75"/>
        <v>34.049393022913229</v>
      </c>
      <c r="AH175" s="282">
        <f t="shared" si="75"/>
        <v>34.383283720842591</v>
      </c>
      <c r="AI175" s="282">
        <f t="shared" si="75"/>
        <v>34.718743705052255</v>
      </c>
      <c r="AJ175" s="282">
        <f t="shared" si="75"/>
        <v>35.055780351187643</v>
      </c>
      <c r="AK175" s="282">
        <f t="shared" si="75"/>
        <v>35.394401069559919</v>
      </c>
      <c r="AL175" s="282">
        <f t="shared" si="75"/>
        <v>35.734613305308507</v>
      </c>
      <c r="AM175" s="282">
        <f t="shared" si="75"/>
        <v>36.076424538565156</v>
      </c>
      <c r="AN175" s="282">
        <f t="shared" si="75"/>
        <v>36.419842284618092</v>
      </c>
      <c r="AO175" s="282">
        <f t="shared" si="75"/>
        <v>36.764874094077449</v>
      </c>
      <c r="AP175" s="282">
        <f t="shared" si="75"/>
        <v>37.111527553041299</v>
      </c>
      <c r="AQ175" s="282">
        <f t="shared" si="75"/>
        <v>37.459810283262257</v>
      </c>
      <c r="AR175" s="282">
        <f t="shared" si="75"/>
        <v>37.809729942315279</v>
      </c>
      <c r="AS175" s="282">
        <f t="shared" si="75"/>
        <v>38.161294223765822</v>
      </c>
      <c r="AT175" s="282">
        <f t="shared" si="75"/>
        <v>38.514510857339204</v>
      </c>
      <c r="AU175" s="282">
        <f t="shared" si="75"/>
        <v>38.869387609090374</v>
      </c>
      <c r="AV175" s="282">
        <f t="shared" si="75"/>
        <v>39.225932281574785</v>
      </c>
      <c r="AW175" s="282">
        <f t="shared" si="75"/>
        <v>39.584152714019851</v>
      </c>
      <c r="AX175" s="282">
        <f t="shared" si="75"/>
        <v>39.944056782497434</v>
      </c>
      <c r="AY175" s="282">
        <f t="shared" si="75"/>
        <v>40.305652400096839</v>
      </c>
      <c r="AZ175" s="282">
        <f t="shared" si="75"/>
        <v>40.668947517098971</v>
      </c>
      <c r="BA175" s="282">
        <f t="shared" si="75"/>
        <v>41.03395012115103</v>
      </c>
      <c r="BB175" s="282">
        <f t="shared" si="75"/>
        <v>41.400668237442098</v>
      </c>
      <c r="BC175" s="282">
        <f t="shared" si="75"/>
        <v>41.769109928879743</v>
      </c>
    </row>
    <row r="176" spans="1:58" s="192" customFormat="1" ht="16.899999999999999" customHeight="1" outlineLevel="1" x14ac:dyDescent="0.25">
      <c r="B176" s="192" t="s">
        <v>422</v>
      </c>
      <c r="C176" s="282">
        <f>C175</f>
        <v>39.318004528130281</v>
      </c>
      <c r="D176" s="282">
        <f t="shared" ref="D176:BC176" si="76">C176+D175</f>
        <v>29.333923064064173</v>
      </c>
      <c r="E176" s="282">
        <f t="shared" si="76"/>
        <v>37.278811994809871</v>
      </c>
      <c r="F176" s="282">
        <f t="shared" si="76"/>
        <v>13.806583306932474</v>
      </c>
      <c r="G176" s="282">
        <f t="shared" si="76"/>
        <v>-8.1446163614051486</v>
      </c>
      <c r="H176" s="282">
        <f t="shared" si="76"/>
        <v>-28.573404337729656</v>
      </c>
      <c r="I176" s="282">
        <f t="shared" si="76"/>
        <v>-47.478391451007056</v>
      </c>
      <c r="J176" s="282">
        <f t="shared" si="76"/>
        <v>-64.85818200109955</v>
      </c>
      <c r="K176" s="282">
        <f t="shared" si="76"/>
        <v>-80.711373728078598</v>
      </c>
      <c r="L176" s="282">
        <f t="shared" si="76"/>
        <v>-95.036557781394066</v>
      </c>
      <c r="M176" s="282">
        <f t="shared" si="76"/>
        <v>-107.83231868889827</v>
      </c>
      <c r="N176" s="282">
        <f t="shared" si="76"/>
        <v>-119.09723432572433</v>
      </c>
      <c r="O176" s="282">
        <f t="shared" si="76"/>
        <v>-128.82987588301856</v>
      </c>
      <c r="P176" s="282">
        <f t="shared" si="76"/>
        <v>-137.02880783652566</v>
      </c>
      <c r="Q176" s="282">
        <f t="shared" si="76"/>
        <v>-143.69258791502631</v>
      </c>
      <c r="R176" s="282">
        <f t="shared" si="76"/>
        <v>-148.81976706862645</v>
      </c>
      <c r="S176" s="282">
        <f t="shared" si="76"/>
        <v>-152.40888943689754</v>
      </c>
      <c r="T176" s="282">
        <f t="shared" si="76"/>
        <v>-154.45849231686702</v>
      </c>
      <c r="U176" s="282">
        <f t="shared" si="76"/>
        <v>-154.96710613085835</v>
      </c>
      <c r="V176" s="282">
        <f t="shared" si="76"/>
        <v>-153.93325439417993</v>
      </c>
      <c r="W176" s="282">
        <f t="shared" si="76"/>
        <v>-151.3554536826621</v>
      </c>
      <c r="X176" s="282">
        <f t="shared" si="76"/>
        <v>-147.23221360004158</v>
      </c>
      <c r="Y176" s="282">
        <f t="shared" si="76"/>
        <v>-141.5620367451927</v>
      </c>
      <c r="Z176" s="282">
        <f t="shared" si="76"/>
        <v>-109.80655094097014</v>
      </c>
      <c r="AA176" s="282">
        <f t="shared" si="76"/>
        <v>-77.727955802746067</v>
      </c>
      <c r="AB176" s="282">
        <f t="shared" si="76"/>
        <v>-45.324732716650651</v>
      </c>
      <c r="AC176" s="282">
        <f t="shared" si="76"/>
        <v>-12.595355931328939</v>
      </c>
      <c r="AD176" s="282">
        <f t="shared" si="76"/>
        <v>20.461707475605465</v>
      </c>
      <c r="AE176" s="282">
        <f t="shared" si="76"/>
        <v>53.847997631274119</v>
      </c>
      <c r="AF176" s="282">
        <f t="shared" si="76"/>
        <v>87.565061901396092</v>
      </c>
      <c r="AG176" s="282">
        <f t="shared" si="76"/>
        <v>121.61445492430931</v>
      </c>
      <c r="AH176" s="282">
        <f t="shared" si="76"/>
        <v>155.99773864515191</v>
      </c>
      <c r="AI176" s="282">
        <f t="shared" si="76"/>
        <v>190.71648235020416</v>
      </c>
      <c r="AJ176" s="282">
        <f t="shared" si="76"/>
        <v>225.77226270139181</v>
      </c>
      <c r="AK176" s="282">
        <f t="shared" si="76"/>
        <v>261.16666377095174</v>
      </c>
      <c r="AL176" s="282">
        <f t="shared" si="76"/>
        <v>296.90127707626027</v>
      </c>
      <c r="AM176" s="282">
        <f t="shared" si="76"/>
        <v>332.97770161482543</v>
      </c>
      <c r="AN176" s="282">
        <f t="shared" si="76"/>
        <v>369.39754389944352</v>
      </c>
      <c r="AO176" s="282">
        <f t="shared" si="76"/>
        <v>406.16241799352099</v>
      </c>
      <c r="AP176" s="282">
        <f t="shared" si="76"/>
        <v>443.27394554656229</v>
      </c>
      <c r="AQ176" s="282">
        <f t="shared" si="76"/>
        <v>480.73375582982453</v>
      </c>
      <c r="AR176" s="282">
        <f t="shared" si="76"/>
        <v>518.54348577213977</v>
      </c>
      <c r="AS176" s="282">
        <f t="shared" si="76"/>
        <v>556.7047799959056</v>
      </c>
      <c r="AT176" s="282">
        <f t="shared" si="76"/>
        <v>595.21929085324484</v>
      </c>
      <c r="AU176" s="282">
        <f t="shared" si="76"/>
        <v>634.08867846233522</v>
      </c>
      <c r="AV176" s="282">
        <f t="shared" si="76"/>
        <v>673.31461074390995</v>
      </c>
      <c r="AW176" s="282">
        <f t="shared" si="76"/>
        <v>712.89876345792982</v>
      </c>
      <c r="AX176" s="282">
        <f t="shared" si="76"/>
        <v>752.84282024042727</v>
      </c>
      <c r="AY176" s="282">
        <f t="shared" si="76"/>
        <v>793.14847264052412</v>
      </c>
      <c r="AZ176" s="282">
        <f t="shared" si="76"/>
        <v>833.81742015762313</v>
      </c>
      <c r="BA176" s="282">
        <f t="shared" si="76"/>
        <v>874.8513702787742</v>
      </c>
      <c r="BB176" s="282">
        <f t="shared" si="76"/>
        <v>916.25203851621632</v>
      </c>
      <c r="BC176" s="282">
        <f t="shared" si="76"/>
        <v>958.02114844509606</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37.071473249227118</v>
      </c>
      <c r="D178" s="285">
        <f t="shared" ref="D178:BC178" si="77">NPV($D$28,D175)</f>
        <v>-9.4136163153555632</v>
      </c>
      <c r="E178" s="285">
        <f t="shared" si="77"/>
        <v>7.4909380829207057</v>
      </c>
      <c r="F178" s="285">
        <f t="shared" si="77"/>
        <v>-22.131084940484062</v>
      </c>
      <c r="G178" s="285">
        <f t="shared" si="77"/>
        <v>-20.696963669939301</v>
      </c>
      <c r="H178" s="285">
        <f t="shared" si="77"/>
        <v>-19.261538729327274</v>
      </c>
      <c r="I178" s="285">
        <f t="shared" si="77"/>
        <v>-17.824803991398642</v>
      </c>
      <c r="J178" s="285">
        <f t="shared" si="77"/>
        <v>-16.386753300106061</v>
      </c>
      <c r="K178" s="285">
        <f t="shared" si="77"/>
        <v>-14.947380470468655</v>
      </c>
      <c r="L178" s="285">
        <f t="shared" si="77"/>
        <v>-13.506679288436239</v>
      </c>
      <c r="M178" s="285">
        <f t="shared" si="77"/>
        <v>-12.064643510752591</v>
      </c>
      <c r="N178" s="285">
        <f t="shared" si="77"/>
        <v>-10.621266864818082</v>
      </c>
      <c r="O178" s="285">
        <f t="shared" si="77"/>
        <v>-9.176543048551979</v>
      </c>
      <c r="P178" s="285">
        <f t="shared" si="77"/>
        <v>-7.7304657302537336</v>
      </c>
      <c r="Q178" s="285">
        <f t="shared" si="77"/>
        <v>-6.2830285484637374</v>
      </c>
      <c r="R178" s="285">
        <f t="shared" si="77"/>
        <v>-4.834225111823625</v>
      </c>
      <c r="S178" s="285">
        <f t="shared" si="77"/>
        <v>-3.3840489989355969</v>
      </c>
      <c r="T178" s="285">
        <f t="shared" si="77"/>
        <v>-1.9324937582212622</v>
      </c>
      <c r="U178" s="285">
        <f t="shared" si="77"/>
        <v>-0.47955290777987231</v>
      </c>
      <c r="V178" s="285">
        <f t="shared" si="77"/>
        <v>0.97478006475431378</v>
      </c>
      <c r="W178" s="285">
        <f t="shared" si="77"/>
        <v>2.430511702355111</v>
      </c>
      <c r="X178" s="285">
        <f t="shared" si="77"/>
        <v>3.8876485787483666</v>
      </c>
      <c r="Y178" s="285">
        <f t="shared" si="77"/>
        <v>5.3461972985563584</v>
      </c>
      <c r="Z178" s="285">
        <f t="shared" si="77"/>
        <v>29.941057707168163</v>
      </c>
      <c r="AA178" s="285">
        <f t="shared" si="77"/>
        <v>30.245705391499222</v>
      </c>
      <c r="AB178" s="285">
        <f t="shared" si="77"/>
        <v>30.551784919946648</v>
      </c>
      <c r="AC178" s="285">
        <f t="shared" si="77"/>
        <v>30.859303022177741</v>
      </c>
      <c r="AD178" s="285">
        <f t="shared" si="77"/>
        <v>31.168266459489349</v>
      </c>
      <c r="AE178" s="285">
        <f t="shared" si="77"/>
        <v>31.478682024956303</v>
      </c>
      <c r="AF178" s="285">
        <f t="shared" si="77"/>
        <v>31.790556543580973</v>
      </c>
      <c r="AG178" s="285">
        <f t="shared" si="77"/>
        <v>32.103896872443173</v>
      </c>
      <c r="AH178" s="285">
        <f t="shared" si="77"/>
        <v>32.41870990085102</v>
      </c>
      <c r="AI178" s="285">
        <f t="shared" si="77"/>
        <v>32.735002550492418</v>
      </c>
      <c r="AJ178" s="285">
        <f t="shared" si="77"/>
        <v>33.052781775587064</v>
      </c>
      <c r="AK178" s="285">
        <f t="shared" si="77"/>
        <v>33.372054563039711</v>
      </c>
      <c r="AL178" s="285">
        <f t="shared" si="77"/>
        <v>33.692827932593353</v>
      </c>
      <c r="AM178" s="285">
        <f t="shared" si="77"/>
        <v>34.015108936983928</v>
      </c>
      <c r="AN178" s="285">
        <f t="shared" si="77"/>
        <v>34.338904662095125</v>
      </c>
      <c r="AO178" s="285">
        <f t="shared" si="77"/>
        <v>34.664222227114323</v>
      </c>
      <c r="AP178" s="285">
        <f t="shared" si="77"/>
        <v>34.991068784689141</v>
      </c>
      <c r="AQ178" s="285">
        <f t="shared" si="77"/>
        <v>35.319451521084538</v>
      </c>
      <c r="AR178" s="285">
        <f t="shared" si="77"/>
        <v>35.649377656341017</v>
      </c>
      <c r="AS178" s="285">
        <f t="shared" si="77"/>
        <v>35.98085444443317</v>
      </c>
      <c r="AT178" s="285">
        <f t="shared" si="77"/>
        <v>36.313889173429381</v>
      </c>
      <c r="AU178" s="285">
        <f t="shared" si="77"/>
        <v>36.648489165651874</v>
      </c>
      <c r="AV178" s="285">
        <f t="shared" si="77"/>
        <v>36.984661777837815</v>
      </c>
      <c r="AW178" s="285">
        <f t="shared" si="77"/>
        <v>37.32241440130101</v>
      </c>
      <c r="AX178" s="285">
        <f t="shared" si="77"/>
        <v>37.661754462094507</v>
      </c>
      <c r="AY178" s="285">
        <f t="shared" si="77"/>
        <v>38.002689421173713</v>
      </c>
      <c r="AZ178" s="285">
        <f t="shared" si="77"/>
        <v>38.345226774560601</v>
      </c>
      <c r="BA178" s="285">
        <f t="shared" si="77"/>
        <v>38.689374053508416</v>
      </c>
      <c r="BB178" s="285">
        <f t="shared" si="77"/>
        <v>39.035138824667264</v>
      </c>
      <c r="BC178" s="285">
        <f t="shared" si="77"/>
        <v>39.38252869025056</v>
      </c>
    </row>
    <row r="179" spans="2:55" s="192" customFormat="1" ht="16.899999999999999" customHeight="1" outlineLevel="1" x14ac:dyDescent="0.25">
      <c r="B179" s="286" t="s">
        <v>420</v>
      </c>
      <c r="C179" s="285">
        <f>C178</f>
        <v>37.071473249227118</v>
      </c>
      <c r="D179" s="285">
        <f t="shared" ref="D179" si="78">C179+D178</f>
        <v>27.657856933871557</v>
      </c>
      <c r="E179" s="285">
        <f t="shared" ref="E179" si="79">D179+E178</f>
        <v>35.148795016792263</v>
      </c>
      <c r="F179" s="285">
        <f t="shared" ref="F179" si="80">E179+F178</f>
        <v>13.017710076308202</v>
      </c>
      <c r="G179" s="285">
        <f t="shared" ref="G179" si="81">F179+G178</f>
        <v>-7.6792535936310991</v>
      </c>
      <c r="H179" s="285">
        <f t="shared" ref="H179" si="82">G179+H178</f>
        <v>-26.940792322958373</v>
      </c>
      <c r="I179" s="285">
        <f t="shared" ref="I179" si="83">H179+I178</f>
        <v>-44.765596314357012</v>
      </c>
      <c r="J179" s="285">
        <f t="shared" ref="J179" si="84">I179+J178</f>
        <v>-61.152349614463077</v>
      </c>
      <c r="K179" s="285">
        <f t="shared" ref="K179" si="85">J179+K178</f>
        <v>-76.099730084931736</v>
      </c>
      <c r="L179" s="285">
        <f t="shared" ref="L179" si="86">K179+L178</f>
        <v>-89.606409373367967</v>
      </c>
      <c r="M179" s="285">
        <f t="shared" ref="M179" si="87">L179+M178</f>
        <v>-101.67105288412056</v>
      </c>
      <c r="N179" s="285">
        <f t="shared" ref="N179" si="88">M179+N178</f>
        <v>-112.29231974893864</v>
      </c>
      <c r="O179" s="285">
        <f t="shared" ref="O179" si="89">N179+O178</f>
        <v>-121.46886279749062</v>
      </c>
      <c r="P179" s="285">
        <f t="shared" ref="P179" si="90">O179+P178</f>
        <v>-129.19932852774434</v>
      </c>
      <c r="Q179" s="285">
        <f t="shared" ref="Q179" si="91">P179+Q178</f>
        <v>-135.48235707620807</v>
      </c>
      <c r="R179" s="285">
        <f t="shared" ref="R179" si="92">Q179+R178</f>
        <v>-140.3165821880317</v>
      </c>
      <c r="S179" s="285">
        <f t="shared" ref="S179" si="93">R179+S178</f>
        <v>-143.70063118696729</v>
      </c>
      <c r="T179" s="285">
        <f t="shared" ref="T179" si="94">S179+T178</f>
        <v>-145.63312494518854</v>
      </c>
      <c r="U179" s="285">
        <f t="shared" ref="U179" si="95">T179+U178</f>
        <v>-146.1126778529684</v>
      </c>
      <c r="V179" s="285">
        <f t="shared" ref="V179" si="96">U179+V178</f>
        <v>-145.13789778821408</v>
      </c>
      <c r="W179" s="285">
        <f t="shared" ref="W179" si="97">V179+W178</f>
        <v>-142.70738608585896</v>
      </c>
      <c r="X179" s="285">
        <f t="shared" ref="X179" si="98">W179+X178</f>
        <v>-138.8197375071106</v>
      </c>
      <c r="Y179" s="285">
        <f t="shared" ref="Y179" si="99">X179+Y178</f>
        <v>-133.47354020855425</v>
      </c>
      <c r="Z179" s="285">
        <f t="shared" ref="Z179" si="100">Y179+Z178</f>
        <v>-103.53248250138608</v>
      </c>
      <c r="AA179" s="285">
        <f t="shared" ref="AA179" si="101">Z179+AA178</f>
        <v>-73.286777109886856</v>
      </c>
      <c r="AB179" s="285">
        <f t="shared" ref="AB179" si="102">AA179+AB178</f>
        <v>-42.734992189940208</v>
      </c>
      <c r="AC179" s="285">
        <f t="shared" ref="AC179" si="103">AB179+AC178</f>
        <v>-11.875689167762467</v>
      </c>
      <c r="AD179" s="285">
        <f t="shared" ref="AD179" si="104">AC179+AD178</f>
        <v>19.292577291726882</v>
      </c>
      <c r="AE179" s="285">
        <f t="shared" ref="AE179" si="105">AD179+AE178</f>
        <v>50.771259316683185</v>
      </c>
      <c r="AF179" s="285">
        <f t="shared" ref="AF179" si="106">AE179+AF178</f>
        <v>82.561815860264161</v>
      </c>
      <c r="AG179" s="285">
        <f t="shared" ref="AG179" si="107">AF179+AG178</f>
        <v>114.66571273270733</v>
      </c>
      <c r="AH179" s="285">
        <f t="shared" ref="AH179" si="108">AG179+AH178</f>
        <v>147.08442263355835</v>
      </c>
      <c r="AI179" s="285">
        <f t="shared" ref="AI179" si="109">AH179+AI178</f>
        <v>179.81942518405077</v>
      </c>
      <c r="AJ179" s="285">
        <f t="shared" ref="AJ179" si="110">AI179+AJ178</f>
        <v>212.87220695963782</v>
      </c>
      <c r="AK179" s="285">
        <f t="shared" ref="AK179" si="111">AJ179+AK178</f>
        <v>246.24426152267753</v>
      </c>
      <c r="AL179" s="285">
        <f t="shared" ref="AL179" si="112">AK179+AL178</f>
        <v>279.93708945527089</v>
      </c>
      <c r="AM179" s="285">
        <f t="shared" ref="AM179" si="113">AL179+AM178</f>
        <v>313.95219839225484</v>
      </c>
      <c r="AN179" s="285">
        <f t="shared" ref="AN179" si="114">AM179+AN178</f>
        <v>348.29110305434995</v>
      </c>
      <c r="AO179" s="285">
        <f t="shared" ref="AO179" si="115">AN179+AO178</f>
        <v>382.9553252814643</v>
      </c>
      <c r="AP179" s="285">
        <f t="shared" ref="AP179" si="116">AO179+AP178</f>
        <v>417.94639406615346</v>
      </c>
      <c r="AQ179" s="285">
        <f t="shared" ref="AQ179" si="117">AP179+AQ178</f>
        <v>453.265845587238</v>
      </c>
      <c r="AR179" s="285">
        <f t="shared" ref="AR179" si="118">AQ179+AR178</f>
        <v>488.91522324357902</v>
      </c>
      <c r="AS179" s="285">
        <f t="shared" ref="AS179" si="119">AR179+AS178</f>
        <v>524.89607768801216</v>
      </c>
      <c r="AT179" s="285">
        <f t="shared" ref="AT179" si="120">AS179+AT178</f>
        <v>561.20996686144156</v>
      </c>
      <c r="AU179" s="285">
        <f t="shared" ref="AU179" si="121">AT179+AU178</f>
        <v>597.85845602709344</v>
      </c>
      <c r="AV179" s="285">
        <f t="shared" ref="AV179" si="122">AU179+AV178</f>
        <v>634.84311780493124</v>
      </c>
      <c r="AW179" s="285">
        <f t="shared" ref="AW179" si="123">AV179+AW178</f>
        <v>672.16553220623223</v>
      </c>
      <c r="AX179" s="285">
        <f t="shared" ref="AX179" si="124">AW179+AX178</f>
        <v>709.82728666832668</v>
      </c>
      <c r="AY179" s="285">
        <f t="shared" ref="AY179" si="125">AX179+AY178</f>
        <v>747.82997608950041</v>
      </c>
      <c r="AZ179" s="285">
        <f t="shared" ref="AZ179" si="126">AY179+AZ178</f>
        <v>786.17520286406102</v>
      </c>
      <c r="BA179" s="285">
        <f t="shared" ref="BA179" si="127">AZ179+BA178</f>
        <v>824.86457691756948</v>
      </c>
      <c r="BB179" s="285">
        <f t="shared" ref="BB179" si="128">BA179+BB178</f>
        <v>863.89971574223671</v>
      </c>
      <c r="BC179" s="285">
        <f t="shared" ref="BC179" si="129">BB179+BC178</f>
        <v>903.28224443248723</v>
      </c>
    </row>
    <row r="180" spans="2:55" s="192" customFormat="1" ht="16.899999999999999" customHeight="1" outlineLevel="1" x14ac:dyDescent="0.25">
      <c r="B180" s="192" t="s">
        <v>367</v>
      </c>
      <c r="C180" s="282">
        <f>C175/(1+$D$28)^C32</f>
        <v>39.318004528130281</v>
      </c>
      <c r="D180" s="282">
        <f t="shared" ref="D180:BC180" si="130">D175/(1+$D$28)^D32</f>
        <v>-9.4136163153555632</v>
      </c>
      <c r="E180" s="282">
        <f t="shared" si="130"/>
        <v>7.0629248377528819</v>
      </c>
      <c r="F180" s="282">
        <f t="shared" si="130"/>
        <v>-19.674307705884129</v>
      </c>
      <c r="G180" s="282">
        <f t="shared" si="130"/>
        <v>-17.348094091729546</v>
      </c>
      <c r="H180" s="282">
        <f t="shared" si="130"/>
        <v>-15.222447578108509</v>
      </c>
      <c r="I180" s="282">
        <f t="shared" si="130"/>
        <v>-13.282097041860014</v>
      </c>
      <c r="J180" s="282">
        <f t="shared" si="130"/>
        <v>-11.512858814919143</v>
      </c>
      <c r="K180" s="282">
        <f t="shared" si="130"/>
        <v>-9.9015624217904943</v>
      </c>
      <c r="L180" s="282">
        <f t="shared" si="130"/>
        <v>-8.4359812452126857</v>
      </c>
      <c r="M180" s="282">
        <f t="shared" si="130"/>
        <v>-7.1047677997079646</v>
      </c>
      <c r="N180" s="282">
        <f t="shared" si="130"/>
        <v>-5.8973933132033967</v>
      </c>
      <c r="O180" s="282">
        <f t="shared" si="130"/>
        <v>-4.804091336107108</v>
      </c>
      <c r="P180" s="282">
        <f t="shared" si="130"/>
        <v>-3.8158051152054928</v>
      </c>
      <c r="Q180" s="282">
        <f t="shared" si="130"/>
        <v>-2.9241384865933417</v>
      </c>
      <c r="R180" s="282">
        <f t="shared" si="130"/>
        <v>-2.1213100576272428</v>
      </c>
      <c r="S180" s="282">
        <f t="shared" si="130"/>
        <v>-1.4001104626712515</v>
      </c>
      <c r="T180" s="282">
        <f t="shared" si="130"/>
        <v>-0.75386249124624716</v>
      </c>
      <c r="U180" s="282">
        <f t="shared" si="130"/>
        <v>-0.17638390015762528</v>
      </c>
      <c r="V180" s="282">
        <f t="shared" si="130"/>
        <v>0.33804726668355578</v>
      </c>
      <c r="W180" s="282">
        <f t="shared" si="130"/>
        <v>0.79472501566160714</v>
      </c>
      <c r="X180" s="282">
        <f t="shared" si="130"/>
        <v>1.1985455523493247</v>
      </c>
      <c r="Y180" s="282">
        <f t="shared" si="130"/>
        <v>1.5540353861942284</v>
      </c>
      <c r="Z180" s="282">
        <f t="shared" si="130"/>
        <v>8.2059985725547353</v>
      </c>
      <c r="AA180" s="282">
        <f t="shared" si="130"/>
        <v>7.8158531977347616</v>
      </c>
      <c r="AB180" s="282">
        <f t="shared" si="130"/>
        <v>7.4438504814238389</v>
      </c>
      <c r="AC180" s="282">
        <f t="shared" si="130"/>
        <v>7.089172489035942</v>
      </c>
      <c r="AD180" s="282">
        <f t="shared" si="130"/>
        <v>6.7510364943657342</v>
      </c>
      <c r="AE180" s="282">
        <f t="shared" si="130"/>
        <v>6.4286935753777659</v>
      </c>
      <c r="AF180" s="282">
        <f t="shared" si="130"/>
        <v>6.1214272582095317</v>
      </c>
      <c r="AG180" s="282">
        <f t="shared" si="130"/>
        <v>5.8285522083210237</v>
      </c>
      <c r="AH180" s="282">
        <f t="shared" si="130"/>
        <v>5.5494129676957487</v>
      </c>
      <c r="AI180" s="282">
        <f t="shared" si="130"/>
        <v>5.2833827369762432</v>
      </c>
      <c r="AJ180" s="282">
        <f t="shared" si="130"/>
        <v>5.0298622014012437</v>
      </c>
      <c r="AK180" s="282">
        <f t="shared" si="130"/>
        <v>4.7882783994008733</v>
      </c>
      <c r="AL180" s="282">
        <f t="shared" si="130"/>
        <v>4.5580836326996241</v>
      </c>
      <c r="AM180" s="282">
        <f t="shared" si="130"/>
        <v>4.3387544167752017</v>
      </c>
      <c r="AN180" s="282">
        <f t="shared" si="130"/>
        <v>4.1297904705224262</v>
      </c>
      <c r="AO180" s="282">
        <f t="shared" si="130"/>
        <v>3.9307137439765976</v>
      </c>
      <c r="AP180" s="282">
        <f t="shared" si="130"/>
        <v>3.7410674829582722</v>
      </c>
      <c r="AQ180" s="282">
        <f t="shared" si="130"/>
        <v>3.5604153295118715</v>
      </c>
      <c r="AR180" s="282">
        <f t="shared" si="130"/>
        <v>3.3883404570232893</v>
      </c>
      <c r="AS180" s="282">
        <f t="shared" si="130"/>
        <v>3.2244447389161555</v>
      </c>
      <c r="AT180" s="282">
        <f t="shared" si="130"/>
        <v>3.068347949843035</v>
      </c>
      <c r="AU180" s="282">
        <f t="shared" si="130"/>
        <v>2.9196869983055858</v>
      </c>
      <c r="AV180" s="282">
        <f t="shared" si="130"/>
        <v>2.7781151896570795</v>
      </c>
      <c r="AW180" s="282">
        <f t="shared" si="130"/>
        <v>2.6433015184608846</v>
      </c>
      <c r="AX180" s="282">
        <f t="shared" si="130"/>
        <v>2.5149299891998562</v>
      </c>
      <c r="AY180" s="282">
        <f t="shared" si="130"/>
        <v>2.3926989643534724</v>
      </c>
      <c r="AZ180" s="282">
        <f t="shared" si="130"/>
        <v>2.2763205388822771</v>
      </c>
      <c r="BA180" s="282">
        <f t="shared" si="130"/>
        <v>2.1655199401821776</v>
      </c>
      <c r="BB180" s="282">
        <f t="shared" si="130"/>
        <v>2.0600349525946471</v>
      </c>
      <c r="BC180" s="282">
        <f t="shared" si="130"/>
        <v>1.9596153655825659</v>
      </c>
    </row>
    <row r="181" spans="2:55" s="192" customFormat="1" ht="16.899999999999999" customHeight="1" outlineLevel="1" x14ac:dyDescent="0.25">
      <c r="B181" s="275" t="s">
        <v>368</v>
      </c>
      <c r="C181" s="282">
        <f>C180</f>
        <v>39.318004528130281</v>
      </c>
      <c r="D181" s="285">
        <f t="shared" ref="D181" si="131">C181+D180</f>
        <v>29.90438821277472</v>
      </c>
      <c r="E181" s="285">
        <f t="shared" ref="E181" si="132">D181+E180</f>
        <v>36.967313050527601</v>
      </c>
      <c r="F181" s="285">
        <f t="shared" ref="F181" si="133">E181+F180</f>
        <v>17.293005344643472</v>
      </c>
      <c r="G181" s="285">
        <f t="shared" ref="G181" si="134">F181+G180</f>
        <v>-5.5088747086074363E-2</v>
      </c>
      <c r="H181" s="285">
        <f t="shared" ref="H181" si="135">G181+H180</f>
        <v>-15.277536325194584</v>
      </c>
      <c r="I181" s="285">
        <f t="shared" ref="I181" si="136">H181+I180</f>
        <v>-28.559633367054598</v>
      </c>
      <c r="J181" s="285">
        <f t="shared" ref="J181" si="137">I181+J180</f>
        <v>-40.072492181973743</v>
      </c>
      <c r="K181" s="285">
        <f t="shared" ref="K181" si="138">J181+K180</f>
        <v>-49.974054603764237</v>
      </c>
      <c r="L181" s="285">
        <f t="shared" ref="L181" si="139">K181+L180</f>
        <v>-58.410035848976925</v>
      </c>
      <c r="M181" s="285">
        <f t="shared" ref="M181" si="140">L181+M180</f>
        <v>-65.514803648684889</v>
      </c>
      <c r="N181" s="285">
        <f t="shared" ref="N181" si="141">M181+N180</f>
        <v>-71.412196961888284</v>
      </c>
      <c r="O181" s="285">
        <f t="shared" ref="O181" si="142">N181+O180</f>
        <v>-76.216288297995391</v>
      </c>
      <c r="P181" s="285">
        <f t="shared" ref="P181" si="143">O181+P180</f>
        <v>-80.032093413200883</v>
      </c>
      <c r="Q181" s="285">
        <f t="shared" ref="Q181" si="144">P181+Q180</f>
        <v>-82.956231899794219</v>
      </c>
      <c r="R181" s="285">
        <f t="shared" ref="R181" si="145">Q181+R180</f>
        <v>-85.07754195742146</v>
      </c>
      <c r="S181" s="285">
        <f t="shared" ref="S181" si="146">R181+S180</f>
        <v>-86.47765242009271</v>
      </c>
      <c r="T181" s="285">
        <f t="shared" ref="T181" si="147">S181+T180</f>
        <v>-87.231514911338962</v>
      </c>
      <c r="U181" s="285">
        <f t="shared" ref="U181" si="148">T181+U180</f>
        <v>-87.407898811496594</v>
      </c>
      <c r="V181" s="285">
        <f t="shared" ref="V181" si="149">U181+V180</f>
        <v>-87.069851544813034</v>
      </c>
      <c r="W181" s="285">
        <f t="shared" ref="W181" si="150">V181+W180</f>
        <v>-86.275126529151422</v>
      </c>
      <c r="X181" s="285">
        <f t="shared" ref="X181" si="151">W181+X180</f>
        <v>-85.076580976802092</v>
      </c>
      <c r="Y181" s="285">
        <f t="shared" ref="Y181" si="152">X181+Y180</f>
        <v>-83.522545590607862</v>
      </c>
      <c r="Z181" s="285">
        <f t="shared" ref="Z181" si="153">Y181+Z180</f>
        <v>-75.316547018053129</v>
      </c>
      <c r="AA181" s="285">
        <f t="shared" ref="AA181" si="154">Z181+AA180</f>
        <v>-67.500693820318361</v>
      </c>
      <c r="AB181" s="285">
        <f t="shared" ref="AB181" si="155">AA181+AB180</f>
        <v>-60.056843338894524</v>
      </c>
      <c r="AC181" s="285">
        <f t="shared" ref="AC181" si="156">AB181+AC180</f>
        <v>-52.967670849858578</v>
      </c>
      <c r="AD181" s="285">
        <f t="shared" ref="AD181" si="157">AC181+AD180</f>
        <v>-46.216634355492843</v>
      </c>
      <c r="AE181" s="285">
        <f t="shared" ref="AE181" si="158">AD181+AE180</f>
        <v>-39.787940780115079</v>
      </c>
      <c r="AF181" s="285">
        <f t="shared" ref="AF181" si="159">AE181+AF180</f>
        <v>-33.66651352190555</v>
      </c>
      <c r="AG181" s="285">
        <f t="shared" ref="AG181" si="160">AF181+AG180</f>
        <v>-27.837961313584525</v>
      </c>
      <c r="AH181" s="285">
        <f t="shared" ref="AH181" si="161">AG181+AH180</f>
        <v>-22.288548345888778</v>
      </c>
      <c r="AI181" s="285">
        <f t="shared" ref="AI181" si="162">AH181+AI180</f>
        <v>-17.005165608912534</v>
      </c>
      <c r="AJ181" s="285">
        <f t="shared" ref="AJ181" si="163">AI181+AJ180</f>
        <v>-11.975303407511291</v>
      </c>
      <c r="AK181" s="285">
        <f t="shared" ref="AK181" si="164">AJ181+AK180</f>
        <v>-7.1870250081104174</v>
      </c>
      <c r="AL181" s="285">
        <f t="shared" ref="AL181" si="165">AK181+AL180</f>
        <v>-2.6289413754107933</v>
      </c>
      <c r="AM181" s="285">
        <f t="shared" ref="AM181" si="166">AL181+AM180</f>
        <v>1.7098130413644084</v>
      </c>
      <c r="AN181" s="285">
        <f t="shared" ref="AN181" si="167">AM181+AN180</f>
        <v>5.8396035118868346</v>
      </c>
      <c r="AO181" s="285">
        <f t="shared" ref="AO181" si="168">AN181+AO180</f>
        <v>9.7703172558634321</v>
      </c>
      <c r="AP181" s="285">
        <f t="shared" ref="AP181" si="169">AO181+AP180</f>
        <v>13.511384738821704</v>
      </c>
      <c r="AQ181" s="285">
        <f t="shared" ref="AQ181" si="170">AP181+AQ180</f>
        <v>17.071800068333577</v>
      </c>
      <c r="AR181" s="285">
        <f t="shared" ref="AR181" si="171">AQ181+AR180</f>
        <v>20.460140525356866</v>
      </c>
      <c r="AS181" s="285">
        <f t="shared" ref="AS181" si="172">AR181+AS180</f>
        <v>23.684585264273021</v>
      </c>
      <c r="AT181" s="285">
        <f t="shared" ref="AT181" si="173">AS181+AT180</f>
        <v>26.752933214116055</v>
      </c>
      <c r="AU181" s="285">
        <f t="shared" ref="AU181" si="174">AT181+AU180</f>
        <v>29.672620212421641</v>
      </c>
      <c r="AV181" s="285">
        <f t="shared" ref="AV181" si="175">AU181+AV180</f>
        <v>32.45073540207872</v>
      </c>
      <c r="AW181" s="285">
        <f t="shared" ref="AW181" si="176">AV181+AW180</f>
        <v>35.094036920539608</v>
      </c>
      <c r="AX181" s="285">
        <f t="shared" ref="AX181" si="177">AW181+AX180</f>
        <v>37.608966909739465</v>
      </c>
      <c r="AY181" s="285">
        <f t="shared" ref="AY181" si="178">AX181+AY180</f>
        <v>40.001665874092936</v>
      </c>
      <c r="AZ181" s="285">
        <f t="shared" ref="AZ181" si="179">AY181+AZ180</f>
        <v>42.27798641297521</v>
      </c>
      <c r="BA181" s="285">
        <f t="shared" ref="BA181" si="180">AZ181+BA180</f>
        <v>44.443506353157389</v>
      </c>
      <c r="BB181" s="285">
        <f t="shared" ref="BB181" si="181">BA181+BB180</f>
        <v>46.503541305752037</v>
      </c>
      <c r="BC181" s="285">
        <f t="shared" ref="BC181" si="182">BB181+BC180</f>
        <v>48.463156671334602</v>
      </c>
    </row>
    <row r="182" spans="2:55" s="192" customFormat="1" ht="16.899999999999999" customHeight="1" outlineLevel="1" x14ac:dyDescent="0.25">
      <c r="B182" s="275" t="s">
        <v>369</v>
      </c>
      <c r="C182" s="282">
        <f t="shared" ref="C182:AH182" si="183">C167/(1+$C$28)^C32</f>
        <v>115.03876811830436</v>
      </c>
      <c r="D182" s="282">
        <f t="shared" si="183"/>
        <v>199.9264058783379</v>
      </c>
      <c r="E182" s="282">
        <f t="shared" si="183"/>
        <v>129.78582346574456</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0.38101859733514021</v>
      </c>
      <c r="AE183" s="287">
        <f t="shared" si="186"/>
        <v>0</v>
      </c>
      <c r="AF183" s="287">
        <f t="shared" si="186"/>
        <v>0</v>
      </c>
      <c r="AG183" s="287">
        <f t="shared" si="186"/>
        <v>0</v>
      </c>
      <c r="AH183" s="287">
        <f t="shared" si="186"/>
        <v>0</v>
      </c>
      <c r="AI183" s="287">
        <f t="shared" si="186"/>
        <v>0</v>
      </c>
      <c r="AJ183" s="287">
        <f t="shared" si="186"/>
        <v>0</v>
      </c>
      <c r="AK183" s="287">
        <f t="shared" si="186"/>
        <v>0</v>
      </c>
      <c r="AL183" s="287">
        <f t="shared" si="186"/>
        <v>0</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5.5470389944018317E-2</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2"/>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2" t="s">
        <v>999</v>
      </c>
      <c r="C2" s="2910" t="str">
        <f>'R&amp;C-Painel de Controle'!G2</f>
        <v>CIRSOP - Consórcio RSU Oeste Paulista</v>
      </c>
      <c r="D2" s="2911"/>
      <c r="E2" s="2911"/>
      <c r="F2" s="2911"/>
      <c r="G2" s="2911"/>
      <c r="H2" s="2912"/>
      <c r="I2" s="749"/>
    </row>
    <row r="3" spans="1:60" ht="4.9000000000000004" customHeight="1" thickTop="1" thickBot="1" x14ac:dyDescent="0.3"/>
    <row r="4" spans="1:60" ht="19.5" thickTop="1" x14ac:dyDescent="0.25">
      <c r="B4" s="1638" t="str">
        <f>B104</f>
        <v>Quant. RSU (Ano 1)</v>
      </c>
      <c r="C4" s="1639">
        <f>C104</f>
        <v>467.94871794871796</v>
      </c>
      <c r="D4" s="1640" t="str">
        <f>D104</f>
        <v>t/d</v>
      </c>
      <c r="E4" s="1641"/>
      <c r="F4" s="1641"/>
      <c r="G4" s="1641"/>
      <c r="H4" s="1642"/>
      <c r="I4" s="749"/>
    </row>
    <row r="5" spans="1:60" ht="19.899999999999999" customHeight="1" x14ac:dyDescent="0.25">
      <c r="B5" s="1643" t="s">
        <v>1024</v>
      </c>
      <c r="C5" s="1644">
        <f>'R&amp;C-Painel de Controle'!D33</f>
        <v>674.41757322989974</v>
      </c>
      <c r="D5" s="1645" t="s">
        <v>293</v>
      </c>
      <c r="E5" s="1646"/>
      <c r="F5" s="1646"/>
      <c r="G5" s="1646"/>
      <c r="H5" s="1647"/>
      <c r="I5" s="749"/>
    </row>
    <row r="6" spans="1:60" ht="19.899999999999999" customHeight="1" x14ac:dyDescent="0.25">
      <c r="B6" s="1643" t="s">
        <v>1025</v>
      </c>
      <c r="C6" s="1644">
        <f>'R&amp;C-Painel de Controle'!H33</f>
        <v>712.33459778080703</v>
      </c>
      <c r="D6" s="1645" t="s">
        <v>293</v>
      </c>
      <c r="E6" s="1646"/>
      <c r="F6" s="1646"/>
      <c r="G6" s="1646"/>
      <c r="H6" s="1647"/>
      <c r="I6" s="749"/>
    </row>
    <row r="7" spans="1:60" ht="18.75" x14ac:dyDescent="0.25">
      <c r="B7" s="1643" t="s">
        <v>972</v>
      </c>
      <c r="C7" s="1644">
        <f>'R&amp;C-Painel de Controle'!D32</f>
        <v>35</v>
      </c>
      <c r="D7" s="1645" t="s">
        <v>260</v>
      </c>
      <c r="E7" s="1646"/>
      <c r="F7" s="1646"/>
      <c r="G7" s="1646"/>
      <c r="H7" s="1647"/>
      <c r="I7" s="749"/>
    </row>
    <row r="8" spans="1:60" ht="19.5" thickBot="1" x14ac:dyDescent="0.3">
      <c r="B8" s="1648" t="s">
        <v>930</v>
      </c>
      <c r="C8" s="1653">
        <f>'C-FCL Real'!C28</f>
        <v>9.74E-2</v>
      </c>
      <c r="D8" s="1649" t="s">
        <v>194</v>
      </c>
      <c r="E8" s="1650"/>
      <c r="F8" s="1650"/>
      <c r="G8" s="1650"/>
      <c r="H8" s="1651"/>
      <c r="I8" s="749"/>
    </row>
    <row r="9" spans="1:60" ht="4.9000000000000004" customHeight="1" thickTop="1" thickBot="1" x14ac:dyDescent="0.3"/>
    <row r="10" spans="1:60" s="885" customFormat="1" ht="19.899999999999999" customHeight="1" thickTop="1" x14ac:dyDescent="0.25">
      <c r="B10" s="2913" t="s">
        <v>998</v>
      </c>
      <c r="C10" s="2914"/>
      <c r="D10" s="2917" t="s">
        <v>994</v>
      </c>
      <c r="E10" s="2918"/>
      <c r="F10" s="2918"/>
      <c r="G10" s="2918"/>
      <c r="H10" s="2919"/>
      <c r="J10" s="1591" t="s">
        <v>995</v>
      </c>
      <c r="K10" s="1591" t="s">
        <v>993</v>
      </c>
      <c r="L10" s="1591" t="s">
        <v>996</v>
      </c>
      <c r="M10" s="1591" t="s">
        <v>994</v>
      </c>
    </row>
    <row r="11" spans="1:60" s="885" customFormat="1" ht="19.899999999999999" customHeight="1" thickBot="1" x14ac:dyDescent="0.3">
      <c r="B11" s="2915"/>
      <c r="C11" s="2916"/>
      <c r="D11" s="2920"/>
      <c r="E11" s="2921"/>
      <c r="F11" s="2921"/>
      <c r="G11" s="2921"/>
      <c r="H11" s="2922"/>
    </row>
    <row r="12" spans="1:60" ht="4.9000000000000004" customHeight="1" thickTop="1" thickBot="1" x14ac:dyDescent="0.3"/>
    <row r="13" spans="1:60" s="39" customFormat="1" ht="25.15" customHeight="1" collapsed="1" thickTop="1" thickBot="1" x14ac:dyDescent="0.3">
      <c r="B13" s="2927" t="s">
        <v>990</v>
      </c>
      <c r="C13" s="2928"/>
      <c r="D13" s="2928"/>
      <c r="E13" s="2928"/>
      <c r="F13" s="2928"/>
      <c r="G13" s="2928"/>
      <c r="H13" s="2929"/>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909" t="s">
        <v>991</v>
      </c>
      <c r="B15" s="1547" t="s">
        <v>911</v>
      </c>
      <c r="C15" s="1560"/>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909"/>
      <c r="B16" s="1548" t="str">
        <f>'C-FCL Real'!B35</f>
        <v>Dados Quantitativos RSU</v>
      </c>
      <c r="C16" s="1561">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2"/>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5">
        <f>C18*1000000/$C$16</f>
        <v>127.59312419933674</v>
      </c>
      <c r="B18" s="1549" t="str">
        <f>'C-FCL Real'!B63</f>
        <v>Dados de Capex</v>
      </c>
      <c r="C18" s="1563">
        <f>SUMIF($D$15:$BG$15,1,D18:BG18)</f>
        <v>701.05336394955123</v>
      </c>
      <c r="D18" s="1559">
        <f>'C-FCL Real'!C63</f>
        <v>164.34109731186339</v>
      </c>
      <c r="E18" s="48">
        <f>'C-FCL Real'!D63</f>
        <v>313.42748258698288</v>
      </c>
      <c r="F18" s="48">
        <f>'C-FCL Real'!E63</f>
        <v>223.28478405070493</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5">
        <f>C19*1000000/$C$16</f>
        <v>116.26856588239178</v>
      </c>
      <c r="B19" s="1596" t="s">
        <v>914</v>
      </c>
      <c r="C19" s="1562">
        <f>SUMIF($D$15:$BG$15,1,D19:BG19)</f>
        <v>638.83120461960198</v>
      </c>
      <c r="D19" s="1559">
        <f t="shared" ref="D19:AJ19" si="0">NPV($C$8,D18:D18)</f>
        <v>149.75496383439349</v>
      </c>
      <c r="E19" s="48">
        <f t="shared" si="0"/>
        <v>285.60915125476845</v>
      </c>
      <c r="F19" s="48">
        <f t="shared" si="0"/>
        <v>203.46708953044009</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5"/>
      <c r="B20" s="749"/>
      <c r="C20" s="1832">
        <f>C18*1000000/(C16/C43)</f>
        <v>4465.7593469767862</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5">
        <f>C21*1000000/$C$16</f>
        <v>327.7587837411067</v>
      </c>
      <c r="B21" s="1549" t="str">
        <f>'C-FCL Real'!B119</f>
        <v>Dados de Opex + Gestão do Contrato</v>
      </c>
      <c r="C21" s="1563">
        <f>SUMIF($D$15:$BG$15,1,D21:BG21)</f>
        <v>1800.8525094717504</v>
      </c>
      <c r="D21" s="1559">
        <f>'C-FCL Real'!C119</f>
        <v>2.4469010625000003</v>
      </c>
      <c r="E21" s="48">
        <f>'C-FCL Real'!D119</f>
        <v>2.4469010625000003</v>
      </c>
      <c r="F21" s="48">
        <f>'C-FCL Real'!E119</f>
        <v>2.4469010625000003</v>
      </c>
      <c r="G21" s="48">
        <f>'C-FCL Real'!F119</f>
        <v>56.047243946382807</v>
      </c>
      <c r="H21" s="48">
        <f>'C-FCL Real'!G119</f>
        <v>56.047243946382807</v>
      </c>
      <c r="I21" s="48">
        <f>'C-FCL Real'!H119</f>
        <v>56.047243946382807</v>
      </c>
      <c r="J21" s="48">
        <f>'C-FCL Real'!I119</f>
        <v>56.047243946382807</v>
      </c>
      <c r="K21" s="48">
        <f>'C-FCL Real'!J119</f>
        <v>56.047243946382807</v>
      </c>
      <c r="L21" s="48">
        <f>'C-FCL Real'!K119</f>
        <v>56.047243946382807</v>
      </c>
      <c r="M21" s="48">
        <f>'C-FCL Real'!L119</f>
        <v>56.047243946382807</v>
      </c>
      <c r="N21" s="48">
        <f>'C-FCL Real'!M119</f>
        <v>56.047243946382807</v>
      </c>
      <c r="O21" s="48">
        <f>'C-FCL Real'!N119</f>
        <v>56.047243946382807</v>
      </c>
      <c r="P21" s="48">
        <f>'C-FCL Real'!O119</f>
        <v>56.047243946382807</v>
      </c>
      <c r="Q21" s="48">
        <f>'C-FCL Real'!P119</f>
        <v>56.047243946382807</v>
      </c>
      <c r="R21" s="48">
        <f>'C-FCL Real'!Q119</f>
        <v>56.047243946382807</v>
      </c>
      <c r="S21" s="48">
        <f>'C-FCL Real'!O119</f>
        <v>56.047243946382807</v>
      </c>
      <c r="T21" s="48">
        <f>'C-FCL Real'!P119</f>
        <v>56.047243946382807</v>
      </c>
      <c r="U21" s="48">
        <f>'C-FCL Real'!Q119</f>
        <v>56.047243946382807</v>
      </c>
      <c r="V21" s="48">
        <f>'C-FCL Real'!R119</f>
        <v>56.047243946382807</v>
      </c>
      <c r="W21" s="48">
        <f>'C-FCL Real'!S119</f>
        <v>56.047243946382807</v>
      </c>
      <c r="X21" s="48">
        <f>'C-FCL Real'!T119</f>
        <v>56.047243946382807</v>
      </c>
      <c r="Y21" s="48">
        <f>'C-FCL Real'!U119</f>
        <v>56.047243946382807</v>
      </c>
      <c r="Z21" s="48">
        <f>'C-FCL Real'!V119</f>
        <v>56.047243946382807</v>
      </c>
      <c r="AA21" s="48">
        <f>'C-FCL Real'!W119</f>
        <v>56.047243946382807</v>
      </c>
      <c r="AB21" s="48">
        <f>'C-FCL Real'!X119</f>
        <v>56.047243946382807</v>
      </c>
      <c r="AC21" s="48">
        <f>'C-FCL Real'!Y119</f>
        <v>56.047243946382807</v>
      </c>
      <c r="AD21" s="48">
        <f>'C-FCL Real'!Z119</f>
        <v>56.047243946382807</v>
      </c>
      <c r="AE21" s="48">
        <f>'C-FCL Real'!AA119</f>
        <v>56.047243946382807</v>
      </c>
      <c r="AF21" s="48">
        <f>'C-FCL Real'!AB119</f>
        <v>56.047243946382807</v>
      </c>
      <c r="AG21" s="48">
        <f>'C-FCL Real'!AC119</f>
        <v>56.047243946382807</v>
      </c>
      <c r="AH21" s="48">
        <f>'C-FCL Real'!AD119</f>
        <v>56.047243946382807</v>
      </c>
      <c r="AI21" s="48">
        <f>'C-FCL Real'!AE119</f>
        <v>56.047243946382807</v>
      </c>
      <c r="AJ21" s="48">
        <f>'C-FCL Real'!AF119</f>
        <v>56.047243946382807</v>
      </c>
      <c r="AK21" s="48">
        <f>'C-FCL Real'!AG119</f>
        <v>56.047243946382807</v>
      </c>
      <c r="AL21" s="48">
        <f>'C-FCL Real'!AH119</f>
        <v>56.047243946382807</v>
      </c>
      <c r="AM21" s="48">
        <f>'C-FCL Real'!AI119</f>
        <v>56.047243946382807</v>
      </c>
      <c r="AN21" s="48">
        <f>'C-FCL Real'!AJ119</f>
        <v>56.047243946382807</v>
      </c>
      <c r="AO21" s="48">
        <f>'C-FCL Real'!AK119</f>
        <v>56.047243946382807</v>
      </c>
      <c r="AP21" s="48">
        <f>'C-FCL Real'!AL119</f>
        <v>56.047243946382807</v>
      </c>
      <c r="AQ21" s="48">
        <f>'C-FCL Real'!AM119</f>
        <v>56.047243946382807</v>
      </c>
      <c r="AR21" s="48">
        <f>'C-FCL Real'!AN119</f>
        <v>56.047243946382807</v>
      </c>
      <c r="AS21" s="48">
        <f>'C-FCL Real'!AO119</f>
        <v>56.047243946382807</v>
      </c>
      <c r="AT21" s="48">
        <f>'C-FCL Real'!AP119</f>
        <v>56.047243946382807</v>
      </c>
      <c r="AU21" s="48">
        <f>'C-FCL Real'!AQ119</f>
        <v>56.047243946382807</v>
      </c>
      <c r="AV21" s="48">
        <f>'C-FCL Real'!AR119</f>
        <v>56.047243946382807</v>
      </c>
      <c r="AW21" s="48">
        <f>'C-FCL Real'!AS119</f>
        <v>56.047243946382807</v>
      </c>
      <c r="AX21" s="48">
        <f>'C-FCL Real'!AT119</f>
        <v>56.047243946382807</v>
      </c>
      <c r="AY21" s="48">
        <f>'C-FCL Real'!AU119</f>
        <v>56.047243946382807</v>
      </c>
      <c r="AZ21" s="48">
        <f>'C-FCL Real'!AV119</f>
        <v>56.047243946382807</v>
      </c>
      <c r="BA21" s="48">
        <f>'C-FCL Real'!AW119</f>
        <v>56.047243946382807</v>
      </c>
      <c r="BB21" s="48">
        <f>'C-FCL Real'!AX119</f>
        <v>56.047243946382807</v>
      </c>
      <c r="BC21" s="48">
        <f>'C-FCL Real'!AY119</f>
        <v>56.047243946382807</v>
      </c>
      <c r="BD21" s="48">
        <f>'C-FCL Real'!AZ119</f>
        <v>56.047243946382807</v>
      </c>
      <c r="BE21" s="48">
        <f>'C-FCL Real'!BA119</f>
        <v>56.047243946382807</v>
      </c>
      <c r="BF21" s="48">
        <f>'C-FCL Real'!BB119</f>
        <v>56.047243946382807</v>
      </c>
      <c r="BG21" s="48">
        <f>'C-FCL Real'!BC119</f>
        <v>56.047243946382807</v>
      </c>
      <c r="BH21" s="48">
        <f>'C-FCL Real'!BD119</f>
        <v>0</v>
      </c>
    </row>
    <row r="22" spans="1:60" ht="15" hidden="1" customHeight="1" outlineLevel="1" x14ac:dyDescent="0.25">
      <c r="A22" s="1575">
        <f>C22*1000000/$C$16</f>
        <v>280.07778492808632</v>
      </c>
      <c r="B22" s="1596" t="s">
        <v>915</v>
      </c>
      <c r="C22" s="1562">
        <f>SUMIF($D$15:$BG$15,1,D22:BG22)</f>
        <v>1538.8718986504327</v>
      </c>
      <c r="D22" s="1559">
        <f t="shared" ref="D22:AJ22" si="1">NPV($C$8,D21:D21)</f>
        <v>2.2297257722799348</v>
      </c>
      <c r="E22" s="48">
        <f t="shared" si="1"/>
        <v>2.2297257722799348</v>
      </c>
      <c r="F22" s="48">
        <f t="shared" si="1"/>
        <v>2.2297257722799348</v>
      </c>
      <c r="G22" s="48">
        <f t="shared" si="1"/>
        <v>51.072757377786417</v>
      </c>
      <c r="H22" s="48">
        <f t="shared" si="1"/>
        <v>51.072757377786417</v>
      </c>
      <c r="I22" s="48">
        <f t="shared" si="1"/>
        <v>51.072757377786417</v>
      </c>
      <c r="J22" s="48">
        <f t="shared" si="1"/>
        <v>51.072757377786417</v>
      </c>
      <c r="K22" s="48">
        <f t="shared" si="1"/>
        <v>51.072757377786417</v>
      </c>
      <c r="L22" s="48">
        <f t="shared" si="1"/>
        <v>51.072757377786417</v>
      </c>
      <c r="M22" s="48">
        <f t="shared" si="1"/>
        <v>51.072757377786417</v>
      </c>
      <c r="N22" s="48">
        <f t="shared" si="1"/>
        <v>51.072757377786417</v>
      </c>
      <c r="O22" s="48">
        <f t="shared" si="1"/>
        <v>51.072757377786417</v>
      </c>
      <c r="P22" s="48">
        <f t="shared" si="1"/>
        <v>51.072757377786417</v>
      </c>
      <c r="Q22" s="48">
        <f t="shared" si="1"/>
        <v>51.072757377786417</v>
      </c>
      <c r="R22" s="48">
        <f t="shared" si="1"/>
        <v>51.072757377786417</v>
      </c>
      <c r="S22" s="48">
        <f t="shared" si="1"/>
        <v>51.072757377786417</v>
      </c>
      <c r="T22" s="48">
        <f t="shared" si="1"/>
        <v>51.072757377786417</v>
      </c>
      <c r="U22" s="48">
        <f t="shared" si="1"/>
        <v>51.072757377786417</v>
      </c>
      <c r="V22" s="48">
        <f t="shared" si="1"/>
        <v>51.072757377786417</v>
      </c>
      <c r="W22" s="48">
        <f t="shared" si="1"/>
        <v>51.072757377786417</v>
      </c>
      <c r="X22" s="48">
        <f t="shared" si="1"/>
        <v>51.072757377786417</v>
      </c>
      <c r="Y22" s="48">
        <f t="shared" si="1"/>
        <v>51.072757377786417</v>
      </c>
      <c r="Z22" s="48">
        <f t="shared" si="1"/>
        <v>51.072757377786417</v>
      </c>
      <c r="AA22" s="48">
        <f t="shared" si="1"/>
        <v>51.072757377786417</v>
      </c>
      <c r="AB22" s="48">
        <f t="shared" si="1"/>
        <v>51.072757377786417</v>
      </c>
      <c r="AC22" s="48">
        <f t="shared" si="1"/>
        <v>51.072757377786417</v>
      </c>
      <c r="AD22" s="48">
        <f t="shared" si="1"/>
        <v>51.072757377786417</v>
      </c>
      <c r="AE22" s="48">
        <f t="shared" si="1"/>
        <v>51.072757377786417</v>
      </c>
      <c r="AF22" s="48">
        <f t="shared" si="1"/>
        <v>51.072757377786417</v>
      </c>
      <c r="AG22" s="48">
        <f t="shared" si="1"/>
        <v>51.072757377786417</v>
      </c>
      <c r="AH22" s="48">
        <f t="shared" si="1"/>
        <v>51.072757377786417</v>
      </c>
      <c r="AI22" s="48">
        <f t="shared" si="1"/>
        <v>51.072757377786417</v>
      </c>
      <c r="AJ22" s="48">
        <f t="shared" si="1"/>
        <v>51.072757377786417</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5"/>
      <c r="B23" s="1548"/>
      <c r="C23" s="1833">
        <f>C21*1000000/C16</f>
        <v>327.7587837411067</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5">
        <f>C24*1000000/$C$16</f>
        <v>0</v>
      </c>
      <c r="B24" s="1549" t="s">
        <v>950</v>
      </c>
      <c r="C24" s="1563">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5">
        <f>C25*1000000/$C$16</f>
        <v>0</v>
      </c>
      <c r="B25" s="1596" t="s">
        <v>949</v>
      </c>
      <c r="C25" s="1562">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5"/>
      <c r="B26" s="1548"/>
      <c r="C26" s="1562"/>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5">
        <f>C27*1000000/$C$16</f>
        <v>578.31306904463884</v>
      </c>
      <c r="B27" s="1549" t="str">
        <f>'C-FCL Real'!B148</f>
        <v>Dados de Receitas Diretas</v>
      </c>
      <c r="C27" s="1563">
        <f>SUMIF($D$15:$BG$15,1,D27:BG27)</f>
        <v>3177.5091723307819</v>
      </c>
      <c r="D27" s="1559">
        <f>'C-FCL Real'!C148-D30</f>
        <v>84.433708080517277</v>
      </c>
      <c r="E27" s="48">
        <f>'C-FCL Real'!D148-E30</f>
        <v>84.830546508495715</v>
      </c>
      <c r="F27" s="48">
        <f>'C-FCL Real'!E148-F30</f>
        <v>85.229250077085624</v>
      </c>
      <c r="G27" s="48">
        <f>'C-FCL Real'!F148-G30</f>
        <v>85.629827552447935</v>
      </c>
      <c r="H27" s="48">
        <f>'C-FCL Real'!G148-H30</f>
        <v>86.032287741944415</v>
      </c>
      <c r="I27" s="48">
        <f>'C-FCL Real'!H148-I30</f>
        <v>86.436639494331573</v>
      </c>
      <c r="J27" s="48">
        <f>'C-FCL Real'!I148-J30</f>
        <v>86.842891699954919</v>
      </c>
      <c r="K27" s="48">
        <f>'C-FCL Real'!J148-K30</f>
        <v>87.251053290944711</v>
      </c>
      <c r="L27" s="48">
        <f>'C-FCL Real'!K148-L30</f>
        <v>87.661133241412145</v>
      </c>
      <c r="M27" s="48">
        <f>'C-FCL Real'!L148-M30</f>
        <v>88.073140567646774</v>
      </c>
      <c r="N27" s="48">
        <f>'C-FCL Real'!M148-N30</f>
        <v>88.487084328314722</v>
      </c>
      <c r="O27" s="48">
        <f>'C-FCL Real'!N148-O30</f>
        <v>88.90297362465779</v>
      </c>
      <c r="P27" s="48">
        <f>'C-FCL Real'!O148-P30</f>
        <v>89.320817600693658</v>
      </c>
      <c r="Q27" s="48">
        <f>'C-FCL Real'!P148-Q30</f>
        <v>89.740625443416917</v>
      </c>
      <c r="R27" s="48">
        <f>'C-FCL Real'!Q148-R30</f>
        <v>90.162406383000956</v>
      </c>
      <c r="S27" s="48">
        <f>'C-FCL Real'!O148-S30</f>
        <v>89.320817600693658</v>
      </c>
      <c r="T27" s="48">
        <f>'C-FCL Real'!P148-T30</f>
        <v>89.740625443416917</v>
      </c>
      <c r="U27" s="48">
        <f>'C-FCL Real'!Q148-U30</f>
        <v>90.162406383000956</v>
      </c>
      <c r="V27" s="48">
        <f>'C-FCL Real'!R148-V30</f>
        <v>90.586169693001068</v>
      </c>
      <c r="W27" s="48">
        <f>'C-FCL Real'!S148-W30</f>
        <v>91.01192469055816</v>
      </c>
      <c r="X27" s="48">
        <f>'C-FCL Real'!T148-X30</f>
        <v>91.439680736603776</v>
      </c>
      <c r="Y27" s="48">
        <f>'C-FCL Real'!U148-Y30</f>
        <v>91.869447236065795</v>
      </c>
      <c r="Z27" s="48">
        <f>'C-FCL Real'!V148-Z30</f>
        <v>92.301233638075288</v>
      </c>
      <c r="AA27" s="48">
        <f>'C-FCL Real'!W148-AA30</f>
        <v>92.735049436174251</v>
      </c>
      <c r="AB27" s="48">
        <f>'C-FCL Real'!X148-AB30</f>
        <v>93.17090416852426</v>
      </c>
      <c r="AC27" s="48">
        <f>'C-FCL Real'!Y148-AC30</f>
        <v>93.608807418116314</v>
      </c>
      <c r="AD27" s="48">
        <f>'C-FCL Real'!Z148-AD30</f>
        <v>94.04876881298145</v>
      </c>
      <c r="AE27" s="48">
        <f>'C-FCL Real'!AA148-AE30</f>
        <v>94.490798026402445</v>
      </c>
      <c r="AF27" s="48">
        <f>'C-FCL Real'!AB148-AF30</f>
        <v>94.934904777126533</v>
      </c>
      <c r="AG27" s="48">
        <f>'C-FCL Real'!AC148-AG30</f>
        <v>95.381098829579031</v>
      </c>
      <c r="AH27" s="48">
        <f>'C-FCL Real'!AD148-AH30</f>
        <v>95.829389994078028</v>
      </c>
      <c r="AI27" s="48">
        <f>'C-FCL Real'!AE148-AI30</f>
        <v>96.279788127050196</v>
      </c>
      <c r="AJ27" s="48">
        <f>'C-FCL Real'!AF148-AJ30</f>
        <v>96.732303131247306</v>
      </c>
      <c r="AK27" s="48">
        <f>'C-FCL Real'!AG148-AK30</f>
        <v>97.186944955964179</v>
      </c>
      <c r="AL27" s="48">
        <f>'C-FCL Real'!AH148-AL30</f>
        <v>97.643723597257193</v>
      </c>
      <c r="AM27" s="48">
        <f>'C-FCL Real'!AI148-AM30</f>
        <v>98.102649098164306</v>
      </c>
      <c r="AN27" s="48">
        <f>'C-FCL Real'!AJ148-AN30</f>
        <v>98.563731548925674</v>
      </c>
      <c r="AO27" s="48">
        <f>'C-FCL Real'!AK148-AO30</f>
        <v>99.026981087205613</v>
      </c>
      <c r="AP27" s="48">
        <f>'C-FCL Real'!AL148-AP30</f>
        <v>99.492407898315477</v>
      </c>
      <c r="AQ27" s="48">
        <f>'C-FCL Real'!AM148-AQ30</f>
        <v>99.960022215437547</v>
      </c>
      <c r="AR27" s="48">
        <f>'C-FCL Real'!AN148-AR30</f>
        <v>100.42983431985012</v>
      </c>
      <c r="AS27" s="48">
        <f>'C-FCL Real'!AO148-AS30</f>
        <v>100.9018545411534</v>
      </c>
      <c r="AT27" s="48">
        <f>'C-FCL Real'!AP148-AT30</f>
        <v>101.37609325749681</v>
      </c>
      <c r="AU27" s="48">
        <f>'C-FCL Real'!AQ148-AU30</f>
        <v>101.85256089580703</v>
      </c>
      <c r="AV27" s="48">
        <f>'C-FCL Real'!AR148-AV30</f>
        <v>102.33126793201733</v>
      </c>
      <c r="AW27" s="48">
        <f>'C-FCL Real'!AS148-AW30</f>
        <v>102.8122248912978</v>
      </c>
      <c r="AX27" s="48">
        <f>'C-FCL Real'!AT148-AX30</f>
        <v>103.2954423482869</v>
      </c>
      <c r="AY27" s="48">
        <f>'C-FCL Real'!AU148-AY30</f>
        <v>103.78093092732385</v>
      </c>
      <c r="AZ27" s="48">
        <f>'C-FCL Real'!AV148-AZ30</f>
        <v>104.26870130268225</v>
      </c>
      <c r="BA27" s="48">
        <f>'C-FCL Real'!AW148-BA30</f>
        <v>104.75876419880487</v>
      </c>
      <c r="BB27" s="48">
        <f>'C-FCL Real'!AX148-BB30</f>
        <v>105.25113039053925</v>
      </c>
      <c r="BC27" s="48">
        <f>'C-FCL Real'!AY148-BC30</f>
        <v>105.74581070337477</v>
      </c>
      <c r="BD27" s="48">
        <f>'C-FCL Real'!AZ148-BD30</f>
        <v>106.24281601368062</v>
      </c>
      <c r="BE27" s="48">
        <f>'C-FCL Real'!BA148-BE30</f>
        <v>106.74215724894492</v>
      </c>
      <c r="BF27" s="48">
        <f>'C-FCL Real'!BB148-BF30</f>
        <v>107.24384538801496</v>
      </c>
      <c r="BG27" s="48">
        <f>'C-FCL Real'!BC148-BG30</f>
        <v>107.74789146133863</v>
      </c>
      <c r="BH27" s="48">
        <f>'C-FCL Real'!BD148-BH30</f>
        <v>0</v>
      </c>
    </row>
    <row r="28" spans="1:60" ht="15" hidden="1" customHeight="1" outlineLevel="1" x14ac:dyDescent="0.25">
      <c r="A28" s="1575">
        <f>C28*1000000/$C$16</f>
        <v>494.6724029233967</v>
      </c>
      <c r="B28" s="1596" t="s">
        <v>916</v>
      </c>
      <c r="C28" s="1562">
        <f>SUMIF($D$15:$BG$15,1,D28:BG28)</f>
        <v>2717.9501583538918</v>
      </c>
      <c r="D28" s="1559">
        <f t="shared" ref="D28:AJ28" si="3">NPV($C$8,D27:D27)</f>
        <v>76.93977408467039</v>
      </c>
      <c r="E28" s="48">
        <f t="shared" si="3"/>
        <v>77.301391022868344</v>
      </c>
      <c r="F28" s="48">
        <f t="shared" si="3"/>
        <v>77.664707560675808</v>
      </c>
      <c r="G28" s="48">
        <f t="shared" si="3"/>
        <v>78.029731686210994</v>
      </c>
      <c r="H28" s="48">
        <f t="shared" si="3"/>
        <v>78.396471425136156</v>
      </c>
      <c r="I28" s="48">
        <f t="shared" si="3"/>
        <v>78.764934840834314</v>
      </c>
      <c r="J28" s="48">
        <f t="shared" si="3"/>
        <v>79.135130034586226</v>
      </c>
      <c r="K28" s="48">
        <f t="shared" si="3"/>
        <v>79.507065145748783</v>
      </c>
      <c r="L28" s="48">
        <f t="shared" si="3"/>
        <v>79.880748351933804</v>
      </c>
      <c r="M28" s="48">
        <f t="shared" si="3"/>
        <v>80.256187869187883</v>
      </c>
      <c r="N28" s="48">
        <f t="shared" si="3"/>
        <v>80.633391952173071</v>
      </c>
      <c r="O28" s="48">
        <f t="shared" si="3"/>
        <v>81.01236889434827</v>
      </c>
      <c r="P28" s="48">
        <f t="shared" si="3"/>
        <v>81.393127028151696</v>
      </c>
      <c r="Q28" s="48">
        <f t="shared" si="3"/>
        <v>81.775674725184004</v>
      </c>
      <c r="R28" s="48">
        <f t="shared" si="3"/>
        <v>82.160020396392341</v>
      </c>
      <c r="S28" s="48">
        <f t="shared" si="3"/>
        <v>81.393127028151696</v>
      </c>
      <c r="T28" s="48">
        <f t="shared" si="3"/>
        <v>81.775674725184004</v>
      </c>
      <c r="U28" s="48">
        <f t="shared" si="3"/>
        <v>82.160020396392341</v>
      </c>
      <c r="V28" s="48">
        <f t="shared" si="3"/>
        <v>82.546172492255394</v>
      </c>
      <c r="W28" s="48">
        <f t="shared" si="3"/>
        <v>82.934139502968989</v>
      </c>
      <c r="X28" s="48">
        <f t="shared" si="3"/>
        <v>83.323929958632931</v>
      </c>
      <c r="Y28" s="48">
        <f t="shared" si="3"/>
        <v>83.715552429438489</v>
      </c>
      <c r="Z28" s="48">
        <f t="shared" si="3"/>
        <v>84.109015525856833</v>
      </c>
      <c r="AA28" s="48">
        <f t="shared" si="3"/>
        <v>84.504327898828379</v>
      </c>
      <c r="AB28" s="48">
        <f t="shared" si="3"/>
        <v>84.901498239952858</v>
      </c>
      <c r="AC28" s="48">
        <f t="shared" si="3"/>
        <v>85.300535281680624</v>
      </c>
      <c r="AD28" s="48">
        <f t="shared" si="3"/>
        <v>85.701447797504514</v>
      </c>
      <c r="AE28" s="48">
        <f t="shared" si="3"/>
        <v>86.104244602152775</v>
      </c>
      <c r="AF28" s="48">
        <f t="shared" si="3"/>
        <v>86.508934551782886</v>
      </c>
      <c r="AG28" s="48">
        <f t="shared" si="3"/>
        <v>86.915526544176274</v>
      </c>
      <c r="AH28" s="48">
        <f t="shared" si="3"/>
        <v>87.32402951893387</v>
      </c>
      <c r="AI28" s="48">
        <f t="shared" si="3"/>
        <v>87.734452457672859</v>
      </c>
      <c r="AJ28" s="48">
        <f t="shared" si="3"/>
        <v>88.146804384223898</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5"/>
      <c r="B29" s="749"/>
      <c r="C29" s="1562"/>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5">
        <f>C30*1000000/$C$16</f>
        <v>12.921265856309528</v>
      </c>
      <c r="B30" s="1549" t="str">
        <f>'C-FCL Real'!B149</f>
        <v>Receita do Ente Público pela disposição do RPU</v>
      </c>
      <c r="C30" s="1563">
        <f>SUMIF($D$15:$BG$15,1,D30:BG30)</f>
        <v>70.995180593746767</v>
      </c>
      <c r="D30" s="1559">
        <f>'C-FCL Real'!C149</f>
        <v>1.8865048150211905</v>
      </c>
      <c r="E30" s="48">
        <f>'C-FCL Real'!D149</f>
        <v>1.8953713876517899</v>
      </c>
      <c r="F30" s="48">
        <f>'C-FCL Real'!E149</f>
        <v>1.9042796331737533</v>
      </c>
      <c r="G30" s="48">
        <f>'C-FCL Real'!F149</f>
        <v>1.9132297474496698</v>
      </c>
      <c r="H30" s="48">
        <f>'C-FCL Real'!G149</f>
        <v>1.922221927262683</v>
      </c>
      <c r="I30" s="48">
        <f>'C-FCL Real'!H149</f>
        <v>1.9312563703208174</v>
      </c>
      <c r="J30" s="48">
        <f>'C-FCL Real'!I149</f>
        <v>1.9403332752613252</v>
      </c>
      <c r="K30" s="48">
        <f>'C-FCL Real'!J149</f>
        <v>1.9494528416550532</v>
      </c>
      <c r="L30" s="48">
        <f>'C-FCL Real'!K149</f>
        <v>1.9586152700108317</v>
      </c>
      <c r="M30" s="48">
        <f>'C-FCL Real'!L149</f>
        <v>1.9678207617798824</v>
      </c>
      <c r="N30" s="48">
        <f>'C-FCL Real'!M149</f>
        <v>1.9770695193602477</v>
      </c>
      <c r="O30" s="48">
        <f>'C-FCL Real'!N149</f>
        <v>1.9863617461012406</v>
      </c>
      <c r="P30" s="48">
        <f>'C-FCL Real'!O149</f>
        <v>1.9956976463079164</v>
      </c>
      <c r="Q30" s="48">
        <f>'C-FCL Real'!P149</f>
        <v>2.0050774252455632</v>
      </c>
      <c r="R30" s="48">
        <f>'C-FCL Real'!Q149</f>
        <v>2.0145012891442171</v>
      </c>
      <c r="S30" s="48">
        <f>'C-FCL Real'!O149</f>
        <v>1.9956976463079164</v>
      </c>
      <c r="T30" s="48">
        <f>'C-FCL Real'!P149</f>
        <v>2.0050774252455632</v>
      </c>
      <c r="U30" s="48">
        <f>'C-FCL Real'!Q149</f>
        <v>2.0145012891442171</v>
      </c>
      <c r="V30" s="48">
        <f>'C-FCL Real'!R149</f>
        <v>2.0239694452031949</v>
      </c>
      <c r="W30" s="48">
        <f>'C-FCL Real'!S149</f>
        <v>2.0334821015956499</v>
      </c>
      <c r="X30" s="48">
        <f>'C-FCL Real'!T149</f>
        <v>2.0430394674731494</v>
      </c>
      <c r="Y30" s="48">
        <f>'C-FCL Real'!U149</f>
        <v>2.0526417529702732</v>
      </c>
      <c r="Z30" s="48">
        <f>'C-FCL Real'!V149</f>
        <v>2.0622891692092331</v>
      </c>
      <c r="AA30" s="48">
        <f>'C-FCL Real'!W149</f>
        <v>2.0719819283045164</v>
      </c>
      <c r="AB30" s="48">
        <f>'C-FCL Real'!X149</f>
        <v>2.0817202433675477</v>
      </c>
      <c r="AC30" s="48">
        <f>'C-FCL Real'!Y149</f>
        <v>2.091504328511375</v>
      </c>
      <c r="AD30" s="48">
        <f>'C-FCL Real'!Z149</f>
        <v>2.1013343988553785</v>
      </c>
      <c r="AE30" s="48">
        <f>'C-FCL Real'!AA149</f>
        <v>2.1112106705299984</v>
      </c>
      <c r="AF30" s="48">
        <f>'C-FCL Real'!AB149</f>
        <v>2.1211333606814895</v>
      </c>
      <c r="AG30" s="48">
        <f>'C-FCL Real'!AC149</f>
        <v>2.1311026874766923</v>
      </c>
      <c r="AH30" s="48">
        <f>'C-FCL Real'!AD149</f>
        <v>2.1411188701078325</v>
      </c>
      <c r="AI30" s="48">
        <f>'C-FCL Real'!AE149</f>
        <v>2.1511821287973394</v>
      </c>
      <c r="AJ30" s="48">
        <f>'C-FCL Real'!AF149</f>
        <v>2.1612926848026865</v>
      </c>
      <c r="AK30" s="48">
        <f>'C-FCL Real'!AG149</f>
        <v>2.171450760421259</v>
      </c>
      <c r="AL30" s="48">
        <f>'C-FCL Real'!AH149</f>
        <v>2.1816565789952387</v>
      </c>
      <c r="AM30" s="48">
        <f>'C-FCL Real'!AI149</f>
        <v>2.1919103649165161</v>
      </c>
      <c r="AN30" s="48">
        <f>'C-FCL Real'!AJ149</f>
        <v>2.2022123436316234</v>
      </c>
      <c r="AO30" s="48">
        <f>'C-FCL Real'!AK149</f>
        <v>2.2125627416466918</v>
      </c>
      <c r="AP30" s="48">
        <f>'C-FCL Real'!AL149</f>
        <v>2.2229617865324309</v>
      </c>
      <c r="AQ30" s="48">
        <f>'C-FCL Real'!AM149</f>
        <v>2.233409706929133</v>
      </c>
      <c r="AR30" s="48">
        <f>'C-FCL Real'!AN149</f>
        <v>2.2439067325516997</v>
      </c>
      <c r="AS30" s="48">
        <f>'C-FCL Real'!AO149</f>
        <v>2.2544530941946923</v>
      </c>
      <c r="AT30" s="48">
        <f>'C-FCL Real'!AP149</f>
        <v>2.265049023737407</v>
      </c>
      <c r="AU30" s="48">
        <f>'C-FCL Real'!AQ149</f>
        <v>2.2756947541489727</v>
      </c>
      <c r="AV30" s="48">
        <f>'C-FCL Real'!AR149</f>
        <v>2.2863905194934726</v>
      </c>
      <c r="AW30" s="48">
        <f>'C-FCL Real'!AS149</f>
        <v>2.2971365549350917</v>
      </c>
      <c r="AX30" s="48">
        <f>'C-FCL Real'!AT149</f>
        <v>2.3079330967432865</v>
      </c>
      <c r="AY30" s="48">
        <f>'C-FCL Real'!AU149</f>
        <v>2.3187803822979798</v>
      </c>
      <c r="AZ30" s="48">
        <f>'C-FCL Real'!AV149</f>
        <v>2.3296786500947801</v>
      </c>
      <c r="BA30" s="48">
        <f>'C-FCL Real'!AW149</f>
        <v>2.3406281397502253</v>
      </c>
      <c r="BB30" s="48">
        <f>'C-FCL Real'!AX149</f>
        <v>2.3516290920070513</v>
      </c>
      <c r="BC30" s="48">
        <f>'C-FCL Real'!AY149</f>
        <v>2.3626817487394844</v>
      </c>
      <c r="BD30" s="48">
        <f>'C-FCL Real'!AZ149</f>
        <v>2.3737863529585597</v>
      </c>
      <c r="BE30" s="48">
        <f>'C-FCL Real'!BA149</f>
        <v>2.3849431488174648</v>
      </c>
      <c r="BF30" s="48">
        <f>'C-FCL Real'!BB149</f>
        <v>2.3961523816169068</v>
      </c>
      <c r="BG30" s="48">
        <f>'C-FCL Real'!BC149</f>
        <v>2.4074142978105062</v>
      </c>
      <c r="BH30" s="48">
        <f>'C-FCL Real'!BD149</f>
        <v>0</v>
      </c>
    </row>
    <row r="31" spans="1:60" ht="15" hidden="1" customHeight="1" outlineLevel="1" x14ac:dyDescent="0.25">
      <c r="A31" s="1575">
        <f>C31*1000000/$C$16</f>
        <v>11.052480001034359</v>
      </c>
      <c r="B31" s="1596" t="s">
        <v>917</v>
      </c>
      <c r="C31" s="1562">
        <f>SUMIF($D$15:$BG$15,1,D31:BG31)</f>
        <v>60.727240071378034</v>
      </c>
      <c r="D31" s="1559">
        <f t="shared" ref="D31:AJ31" si="4">NPV($C$8,D30:D30)</f>
        <v>1.7190676280491988</v>
      </c>
      <c r="E31" s="48">
        <f t="shared" si="4"/>
        <v>1.7271472459010297</v>
      </c>
      <c r="F31" s="48">
        <f t="shared" si="4"/>
        <v>1.7352648379567646</v>
      </c>
      <c r="G31" s="48">
        <f t="shared" si="4"/>
        <v>1.7434205826951612</v>
      </c>
      <c r="H31" s="48">
        <f t="shared" si="4"/>
        <v>1.7516146594338282</v>
      </c>
      <c r="I31" s="48">
        <f t="shared" si="4"/>
        <v>1.7598472483331671</v>
      </c>
      <c r="J31" s="48">
        <f t="shared" si="4"/>
        <v>1.7681185304003328</v>
      </c>
      <c r="K31" s="48">
        <f t="shared" si="4"/>
        <v>1.7764286874932143</v>
      </c>
      <c r="L31" s="48">
        <f t="shared" si="4"/>
        <v>1.7847779023244321</v>
      </c>
      <c r="M31" s="48">
        <f t="shared" si="4"/>
        <v>1.7931663584653568</v>
      </c>
      <c r="N31" s="48">
        <f t="shared" si="4"/>
        <v>1.8015942403501437</v>
      </c>
      <c r="O31" s="48">
        <f t="shared" si="4"/>
        <v>1.8100617332797893</v>
      </c>
      <c r="P31" s="48">
        <f t="shared" si="4"/>
        <v>1.8185690234262042</v>
      </c>
      <c r="Q31" s="48">
        <f t="shared" si="4"/>
        <v>1.8271162978363071</v>
      </c>
      <c r="R31" s="48">
        <f t="shared" si="4"/>
        <v>1.8357037444361375</v>
      </c>
      <c r="S31" s="48">
        <f t="shared" si="4"/>
        <v>1.8185690234262042</v>
      </c>
      <c r="T31" s="48">
        <f t="shared" si="4"/>
        <v>1.8271162978363071</v>
      </c>
      <c r="U31" s="48">
        <f t="shared" si="4"/>
        <v>1.8357037444361375</v>
      </c>
      <c r="V31" s="48">
        <f t="shared" si="4"/>
        <v>1.8443315520349872</v>
      </c>
      <c r="W31" s="48">
        <f t="shared" si="4"/>
        <v>1.8529999103295518</v>
      </c>
      <c r="X31" s="48">
        <f t="shared" si="4"/>
        <v>1.8617090099081004</v>
      </c>
      <c r="Y31" s="48">
        <f t="shared" si="4"/>
        <v>1.8704590422546685</v>
      </c>
      <c r="Z31" s="48">
        <f t="shared" si="4"/>
        <v>1.8792501997532651</v>
      </c>
      <c r="AA31" s="48">
        <f t="shared" si="4"/>
        <v>1.8880826756921054</v>
      </c>
      <c r="AB31" s="48">
        <f t="shared" si="4"/>
        <v>1.8969566642678584</v>
      </c>
      <c r="AC31" s="48">
        <f t="shared" si="4"/>
        <v>1.9058723605899173</v>
      </c>
      <c r="AD31" s="48">
        <f t="shared" si="4"/>
        <v>1.9148299606846899</v>
      </c>
      <c r="AE31" s="48">
        <f t="shared" si="4"/>
        <v>1.9238296614999075</v>
      </c>
      <c r="AF31" s="48">
        <f t="shared" si="4"/>
        <v>1.9328716609089571</v>
      </c>
      <c r="AG31" s="48">
        <f t="shared" si="4"/>
        <v>1.9419561577152291</v>
      </c>
      <c r="AH31" s="48">
        <f t="shared" si="4"/>
        <v>1.9510833516564905</v>
      </c>
      <c r="AI31" s="48">
        <f t="shared" si="4"/>
        <v>1.960253443409276</v>
      </c>
      <c r="AJ31" s="48">
        <f t="shared" si="4"/>
        <v>1.9694666345932994</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5"/>
      <c r="B32" s="749"/>
      <c r="C32" s="1562"/>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5">
        <f>C33*1000000/$C$16</f>
        <v>135.88242696050506</v>
      </c>
      <c r="B33" s="1549" t="s">
        <v>910</v>
      </c>
      <c r="C33" s="1563">
        <f>SUMIF($D$15:$BG$15,1,D33:BG33)</f>
        <v>746.59847950322751</v>
      </c>
      <c r="D33" s="1559">
        <f>'C-FCL Real'!C153</f>
        <v>-80.467785478824922</v>
      </c>
      <c r="E33" s="48">
        <f>'C-FCL Real'!D153</f>
        <v>-229.14846575333536</v>
      </c>
      <c r="F33" s="48">
        <f>'C-FCL Real'!E153</f>
        <v>-138.59815540294557</v>
      </c>
      <c r="G33" s="48">
        <f>'C-FCL Real'!F153</f>
        <v>31.495813353514805</v>
      </c>
      <c r="H33" s="48">
        <f>'C-FCL Real'!G153</f>
        <v>31.907265722824292</v>
      </c>
      <c r="I33" s="48">
        <f>'C-FCL Real'!H153</f>
        <v>32.32065191826959</v>
      </c>
      <c r="J33" s="48">
        <f>'C-FCL Real'!I153</f>
        <v>32.735981028833436</v>
      </c>
      <c r="K33" s="48">
        <f>'C-FCL Real'!J153</f>
        <v>33.153262186216963</v>
      </c>
      <c r="L33" s="48">
        <f>'C-FCL Real'!K153</f>
        <v>33.572504565040177</v>
      </c>
      <c r="M33" s="48">
        <f>'C-FCL Real'!L153</f>
        <v>33.993717383043844</v>
      </c>
      <c r="N33" s="48">
        <f>'C-FCL Real'!M153</f>
        <v>34.416909901292158</v>
      </c>
      <c r="O33" s="48">
        <f>'C-FCL Real'!N153</f>
        <v>34.842091424376221</v>
      </c>
      <c r="P33" s="48">
        <f>'C-FCL Real'!O153</f>
        <v>35.269271300618769</v>
      </c>
      <c r="Q33" s="48">
        <f>'C-FCL Real'!P153</f>
        <v>35.69845892227967</v>
      </c>
      <c r="R33" s="48">
        <f>'C-FCL Real'!Q153</f>
        <v>36.12966372576237</v>
      </c>
      <c r="S33" s="48">
        <f>'C-FCL Real'!O153</f>
        <v>35.269271300618769</v>
      </c>
      <c r="T33" s="48">
        <f>'C-FCL Real'!P153</f>
        <v>35.69845892227967</v>
      </c>
      <c r="U33" s="48">
        <f>'C-FCL Real'!Q153</f>
        <v>36.12966372576237</v>
      </c>
      <c r="V33" s="48">
        <f>'C-FCL Real'!R153</f>
        <v>36.562895191821454</v>
      </c>
      <c r="W33" s="48">
        <f>'C-FCL Real'!S153</f>
        <v>36.998162845771006</v>
      </c>
      <c r="X33" s="48">
        <f>'C-FCL Real'!T153</f>
        <v>37.43547625769412</v>
      </c>
      <c r="Y33" s="48">
        <f>'C-FCL Real'!U153</f>
        <v>37.874845042653263</v>
      </c>
      <c r="Z33" s="48">
        <f>'C-FCL Real'!V153</f>
        <v>38.316278860901718</v>
      </c>
      <c r="AA33" s="48">
        <f>'C-FCL Real'!W153</f>
        <v>38.759787418095954</v>
      </c>
      <c r="AB33" s="48">
        <f>'C-FCL Real'!X153</f>
        <v>39.205380465508995</v>
      </c>
      <c r="AC33" s="48">
        <f>'C-FCL Real'!Y153</f>
        <v>39.653067800244884</v>
      </c>
      <c r="AD33" s="48">
        <f>'C-FCL Real'!Z153</f>
        <v>40.102859265454029</v>
      </c>
      <c r="AE33" s="48">
        <f>'C-FCL Real'!AA153</f>
        <v>40.554764750549637</v>
      </c>
      <c r="AF33" s="48">
        <f>'C-FCL Real'!AB153</f>
        <v>41.00879419142521</v>
      </c>
      <c r="AG33" s="48">
        <f>'C-FCL Real'!AC153</f>
        <v>41.464957570672922</v>
      </c>
      <c r="AH33" s="48">
        <f>'C-FCL Real'!AD153</f>
        <v>41.923264917803053</v>
      </c>
      <c r="AI33" s="48">
        <f>'C-FCL Real'!AE153</f>
        <v>42.383726309464734</v>
      </c>
      <c r="AJ33" s="48">
        <f>'C-FCL Real'!AF153</f>
        <v>42.846351869667188</v>
      </c>
      <c r="AK33" s="48">
        <f>'C-FCL Real'!AG153</f>
        <v>43.311151770002638</v>
      </c>
      <c r="AL33" s="48">
        <f>'C-FCL Real'!AH153</f>
        <v>43.778136229869631</v>
      </c>
      <c r="AM33" s="48">
        <f>'C-FCL Real'!AI153</f>
        <v>44.247315516698009</v>
      </c>
      <c r="AN33" s="48">
        <f>'C-FCL Real'!AJ153</f>
        <v>44.718699946174496</v>
      </c>
      <c r="AO33" s="48">
        <f>'C-FCL Real'!AK153</f>
        <v>45.192299882469499</v>
      </c>
      <c r="AP33" s="48">
        <f>'C-FCL Real'!AL153</f>
        <v>45.668125738465108</v>
      </c>
      <c r="AQ33" s="48">
        <f>'C-FCL Real'!AM153</f>
        <v>46.146187975983878</v>
      </c>
      <c r="AR33" s="48">
        <f>'C-FCL Real'!AN153</f>
        <v>46.626497106019002</v>
      </c>
      <c r="AS33" s="48">
        <f>'C-FCL Real'!AO153</f>
        <v>47.109063688965279</v>
      </c>
      <c r="AT33" s="48">
        <f>'C-FCL Real'!AP153</f>
        <v>47.593898334851403</v>
      </c>
      <c r="AU33" s="48">
        <f>'C-FCL Real'!AQ153</f>
        <v>48.081011703573196</v>
      </c>
      <c r="AV33" s="48">
        <f>'C-FCL Real'!AR153</f>
        <v>48.570414505127985</v>
      </c>
      <c r="AW33" s="48">
        <f>'C-FCL Real'!AS153</f>
        <v>49.062117499850089</v>
      </c>
      <c r="AX33" s="48">
        <f>'C-FCL Real'!AT153</f>
        <v>49.556131498647375</v>
      </c>
      <c r="AY33" s="48">
        <f>'C-FCL Real'!AU153</f>
        <v>50.052467363239018</v>
      </c>
      <c r="AZ33" s="48">
        <f>'C-FCL Real'!AV153</f>
        <v>50.551136006394216</v>
      </c>
      <c r="BA33" s="48">
        <f>'C-FCL Real'!AW153</f>
        <v>51.052148392172285</v>
      </c>
      <c r="BB33" s="48">
        <f>'C-FCL Real'!AX153</f>
        <v>51.555515536163483</v>
      </c>
      <c r="BC33" s="48">
        <f>'C-FCL Real'!AY153</f>
        <v>52.061248505731456</v>
      </c>
      <c r="BD33" s="48">
        <f>'C-FCL Real'!AZ153</f>
        <v>52.569358420256378</v>
      </c>
      <c r="BE33" s="48">
        <f>'C-FCL Real'!BA153</f>
        <v>53.079856451379584</v>
      </c>
      <c r="BF33" s="48">
        <f>'C-FCL Real'!BB153</f>
        <v>53.592753823249055</v>
      </c>
      <c r="BG33" s="48">
        <f>'C-FCL Real'!BC153</f>
        <v>54.108061812766323</v>
      </c>
      <c r="BH33" s="48">
        <f>'C-FCL Real'!BD153</f>
        <v>0</v>
      </c>
    </row>
    <row r="34" spans="1:60" ht="15" hidden="1" customHeight="1" outlineLevel="1" x14ac:dyDescent="0.25">
      <c r="A34" s="1575">
        <f>C34*1000000/$C$16</f>
        <v>109.37853211395309</v>
      </c>
      <c r="B34" s="1596" t="s">
        <v>918</v>
      </c>
      <c r="C34" s="1562">
        <f>SUMIF($D$15:$BG$15,1,D34:BG34)</f>
        <v>600.9742951552355</v>
      </c>
      <c r="D34" s="1559">
        <f t="shared" ref="D34:AJ34" si="5">NPV($C$8,D33:D33)</f>
        <v>-73.325847893953821</v>
      </c>
      <c r="E34" s="48">
        <f t="shared" si="5"/>
        <v>-208.81033875827899</v>
      </c>
      <c r="F34" s="48">
        <f t="shared" si="5"/>
        <v>-126.29684290408746</v>
      </c>
      <c r="G34" s="48">
        <f t="shared" si="5"/>
        <v>28.700394891119743</v>
      </c>
      <c r="H34" s="48">
        <f t="shared" si="5"/>
        <v>29.075328706783573</v>
      </c>
      <c r="I34" s="48">
        <f t="shared" si="5"/>
        <v>29.452024711381075</v>
      </c>
      <c r="J34" s="48">
        <f t="shared" si="5"/>
        <v>29.830491187200145</v>
      </c>
      <c r="K34" s="48">
        <f t="shared" si="5"/>
        <v>30.210736455455592</v>
      </c>
      <c r="L34" s="48">
        <f t="shared" si="5"/>
        <v>30.592768876471823</v>
      </c>
      <c r="M34" s="48">
        <f t="shared" si="5"/>
        <v>30.976596849866819</v>
      </c>
      <c r="N34" s="48">
        <f t="shared" si="5"/>
        <v>31.362228814736795</v>
      </c>
      <c r="O34" s="48">
        <f t="shared" si="5"/>
        <v>31.749673249841646</v>
      </c>
      <c r="P34" s="48">
        <f t="shared" si="5"/>
        <v>32.138938673791479</v>
      </c>
      <c r="Q34" s="48">
        <f t="shared" si="5"/>
        <v>32.530033645233893</v>
      </c>
      <c r="R34" s="48">
        <f t="shared" si="5"/>
        <v>32.922966763042076</v>
      </c>
      <c r="S34" s="48">
        <f t="shared" si="5"/>
        <v>32.138938673791479</v>
      </c>
      <c r="T34" s="48">
        <f t="shared" si="5"/>
        <v>32.530033645233893</v>
      </c>
      <c r="U34" s="48">
        <f t="shared" si="5"/>
        <v>32.922966763042076</v>
      </c>
      <c r="V34" s="48">
        <f t="shared" si="5"/>
        <v>33.317746666503972</v>
      </c>
      <c r="W34" s="48">
        <f t="shared" si="5"/>
        <v>33.714382035512124</v>
      </c>
      <c r="X34" s="48">
        <f t="shared" si="5"/>
        <v>34.112881590754625</v>
      </c>
      <c r="Y34" s="48">
        <f t="shared" si="5"/>
        <v>34.513254093906745</v>
      </c>
      <c r="Z34" s="48">
        <f t="shared" si="5"/>
        <v>34.915508347823696</v>
      </c>
      <c r="AA34" s="48">
        <f t="shared" si="5"/>
        <v>35.319653196734059</v>
      </c>
      <c r="AB34" s="48">
        <f t="shared" si="5"/>
        <v>35.725697526434296</v>
      </c>
      <c r="AC34" s="48">
        <f t="shared" si="5"/>
        <v>36.133650264484132</v>
      </c>
      <c r="AD34" s="48">
        <f t="shared" si="5"/>
        <v>36.543520380402796</v>
      </c>
      <c r="AE34" s="48">
        <f t="shared" si="5"/>
        <v>36.955316885866267</v>
      </c>
      <c r="AF34" s="48">
        <f t="shared" si="5"/>
        <v>37.369048834905421</v>
      </c>
      <c r="AG34" s="48">
        <f t="shared" si="5"/>
        <v>37.784725324105089</v>
      </c>
      <c r="AH34" s="48">
        <f t="shared" si="5"/>
        <v>38.202355492803953</v>
      </c>
      <c r="AI34" s="48">
        <f t="shared" si="5"/>
        <v>38.621948523295735</v>
      </c>
      <c r="AJ34" s="48">
        <f t="shared" si="5"/>
        <v>39.043513641030792</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5"/>
      <c r="B35" s="749"/>
      <c r="C35" s="1564"/>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5">
        <f>C36*1000000/$C$16</f>
        <v>73.935839576936331</v>
      </c>
      <c r="B36" s="1550" t="s">
        <v>920</v>
      </c>
      <c r="C36" s="1563">
        <f>SUMIF($D$15:$BG$15,1,D36:BG36)</f>
        <v>406.23638128703345</v>
      </c>
      <c r="D36" s="1559">
        <f>IF(D33&gt;0,D33*0.34,0)</f>
        <v>0</v>
      </c>
      <c r="E36" s="48">
        <f t="shared" ref="E36:BG36" si="6">IF(E33&gt;0,E33*0.34,0)</f>
        <v>0</v>
      </c>
      <c r="F36" s="48">
        <f t="shared" si="6"/>
        <v>0</v>
      </c>
      <c r="G36" s="48">
        <f t="shared" si="6"/>
        <v>10.708576540195034</v>
      </c>
      <c r="H36" s="48">
        <f t="shared" si="6"/>
        <v>10.84847034576026</v>
      </c>
      <c r="I36" s="48">
        <f t="shared" si="6"/>
        <v>10.989021652211662</v>
      </c>
      <c r="J36" s="48">
        <f t="shared" si="6"/>
        <v>11.13023354980337</v>
      </c>
      <c r="K36" s="48">
        <f t="shared" si="6"/>
        <v>11.272109143313768</v>
      </c>
      <c r="L36" s="48">
        <f t="shared" si="6"/>
        <v>11.414651552113661</v>
      </c>
      <c r="M36" s="48">
        <f t="shared" si="6"/>
        <v>11.557863910234907</v>
      </c>
      <c r="N36" s="48">
        <f t="shared" si="6"/>
        <v>11.701749366439335</v>
      </c>
      <c r="O36" s="48">
        <f t="shared" si="6"/>
        <v>11.846311084287915</v>
      </c>
      <c r="P36" s="48">
        <f>IF(P33&gt;0,P33*0.34,0)</f>
        <v>11.991552242210382</v>
      </c>
      <c r="Q36" s="48">
        <f>IF(Q33&gt;0,Q33*0.34,0)</f>
        <v>12.137476033575089</v>
      </c>
      <c r="R36" s="48">
        <f>IF(R33&gt;0,R33*0.34,0)</f>
        <v>12.284085666759207</v>
      </c>
      <c r="S36" s="48">
        <f t="shared" si="6"/>
        <v>11.991552242210382</v>
      </c>
      <c r="T36" s="48">
        <f t="shared" si="6"/>
        <v>12.137476033575089</v>
      </c>
      <c r="U36" s="48">
        <f t="shared" si="6"/>
        <v>12.284085666759207</v>
      </c>
      <c r="V36" s="48">
        <f t="shared" si="6"/>
        <v>12.431384365219296</v>
      </c>
      <c r="W36" s="48">
        <f t="shared" si="6"/>
        <v>12.579375367562143</v>
      </c>
      <c r="X36" s="48">
        <f t="shared" si="6"/>
        <v>12.728061927616002</v>
      </c>
      <c r="Y36" s="48">
        <f t="shared" si="6"/>
        <v>12.87744731450211</v>
      </c>
      <c r="Z36" s="48">
        <f t="shared" si="6"/>
        <v>13.027534812706586</v>
      </c>
      <c r="AA36" s="48">
        <f t="shared" si="6"/>
        <v>13.178327722152625</v>
      </c>
      <c r="AB36" s="48">
        <f t="shared" si="6"/>
        <v>13.329829358273059</v>
      </c>
      <c r="AC36" s="48">
        <f t="shared" si="6"/>
        <v>13.482043052083261</v>
      </c>
      <c r="AD36" s="48">
        <f t="shared" si="6"/>
        <v>13.63497215025437</v>
      </c>
      <c r="AE36" s="48">
        <f t="shared" si="6"/>
        <v>13.788620015186877</v>
      </c>
      <c r="AF36" s="48">
        <f t="shared" si="6"/>
        <v>13.942990025084573</v>
      </c>
      <c r="AG36" s="48">
        <f t="shared" si="6"/>
        <v>14.098085574028795</v>
      </c>
      <c r="AH36" s="48">
        <f t="shared" si="6"/>
        <v>14.253910072053039</v>
      </c>
      <c r="AI36" s="48">
        <f t="shared" si="6"/>
        <v>14.41046694521801</v>
      </c>
      <c r="AJ36" s="48">
        <f t="shared" si="6"/>
        <v>14.567759635686846</v>
      </c>
      <c r="AK36" s="48">
        <f t="shared" si="6"/>
        <v>14.725791601800898</v>
      </c>
      <c r="AL36" s="48">
        <f t="shared" si="6"/>
        <v>14.884566318155676</v>
      </c>
      <c r="AM36" s="48">
        <f t="shared" si="6"/>
        <v>15.044087275677324</v>
      </c>
      <c r="AN36" s="48">
        <f t="shared" si="6"/>
        <v>15.20435798169933</v>
      </c>
      <c r="AO36" s="48">
        <f t="shared" si="6"/>
        <v>15.365381960039631</v>
      </c>
      <c r="AP36" s="48">
        <f t="shared" si="6"/>
        <v>15.527162751078137</v>
      </c>
      <c r="AQ36" s="48">
        <f t="shared" si="6"/>
        <v>15.689703911834521</v>
      </c>
      <c r="AR36" s="48">
        <f t="shared" si="6"/>
        <v>15.853009016046462</v>
      </c>
      <c r="AS36" s="48">
        <f t="shared" si="6"/>
        <v>16.017081654248194</v>
      </c>
      <c r="AT36" s="48">
        <f t="shared" si="6"/>
        <v>16.181925433849479</v>
      </c>
      <c r="AU36" s="48">
        <f t="shared" si="6"/>
        <v>16.347543979214887</v>
      </c>
      <c r="AV36" s="48">
        <f t="shared" si="6"/>
        <v>16.513940931743516</v>
      </c>
      <c r="AW36" s="48">
        <f t="shared" si="6"/>
        <v>16.681119949949032</v>
      </c>
      <c r="AX36" s="48">
        <f t="shared" si="6"/>
        <v>16.849084709540108</v>
      </c>
      <c r="AY36" s="48">
        <f t="shared" si="6"/>
        <v>17.017838903501268</v>
      </c>
      <c r="AZ36" s="48">
        <f t="shared" si="6"/>
        <v>17.187386242174036</v>
      </c>
      <c r="BA36" s="48">
        <f t="shared" si="6"/>
        <v>17.357730453338579</v>
      </c>
      <c r="BB36" s="48">
        <f t="shared" si="6"/>
        <v>17.528875282295587</v>
      </c>
      <c r="BC36" s="48">
        <f t="shared" si="6"/>
        <v>17.700824491948698</v>
      </c>
      <c r="BD36" s="48">
        <f t="shared" si="6"/>
        <v>17.873581862887171</v>
      </c>
      <c r="BE36" s="48">
        <f t="shared" si="6"/>
        <v>18.047151193469059</v>
      </c>
      <c r="BF36" s="48">
        <f t="shared" si="6"/>
        <v>18.221536299904681</v>
      </c>
      <c r="BG36" s="48">
        <f t="shared" si="6"/>
        <v>18.396741016340552</v>
      </c>
      <c r="BH36" s="48">
        <f>BH33*0.34</f>
        <v>0</v>
      </c>
    </row>
    <row r="37" spans="1:60" ht="15" hidden="1" customHeight="1" outlineLevel="1" x14ac:dyDescent="0.25">
      <c r="A37" s="1575">
        <f>C37*1000000/$C$16</f>
        <v>62.462816474024351</v>
      </c>
      <c r="B37" s="1596" t="s">
        <v>919</v>
      </c>
      <c r="C37" s="1562">
        <f>SUMIF($D$15:$BG$15,1,D37:BG37)</f>
        <v>343.19849040192906</v>
      </c>
      <c r="D37" s="1559">
        <f t="shared" ref="D37:AJ37" si="7">NPV($C$8,D36:D36)</f>
        <v>0</v>
      </c>
      <c r="E37" s="48">
        <f t="shared" si="7"/>
        <v>0</v>
      </c>
      <c r="F37" s="48">
        <f t="shared" si="7"/>
        <v>0</v>
      </c>
      <c r="G37" s="48">
        <f t="shared" si="7"/>
        <v>9.7581342629807128</v>
      </c>
      <c r="H37" s="48">
        <f t="shared" si="7"/>
        <v>9.885611760306416</v>
      </c>
      <c r="I37" s="48">
        <f t="shared" si="7"/>
        <v>10.013688401869567</v>
      </c>
      <c r="J37" s="48">
        <f t="shared" si="7"/>
        <v>10.142367003648051</v>
      </c>
      <c r="K37" s="48">
        <f t="shared" si="7"/>
        <v>10.271650394854902</v>
      </c>
      <c r="L37" s="48">
        <f t="shared" si="7"/>
        <v>10.40154141800042</v>
      </c>
      <c r="M37" s="48">
        <f t="shared" si="7"/>
        <v>10.532042928954718</v>
      </c>
      <c r="N37" s="48">
        <f t="shared" si="7"/>
        <v>10.663157797010513</v>
      </c>
      <c r="O37" s="48">
        <f t="shared" si="7"/>
        <v>10.794888904946161</v>
      </c>
      <c r="P37" s="48">
        <f t="shared" si="7"/>
        <v>10.927239149089104</v>
      </c>
      <c r="Q37" s="48">
        <f t="shared" si="7"/>
        <v>11.060211439379524</v>
      </c>
      <c r="R37" s="48">
        <f t="shared" si="7"/>
        <v>11.193808699434307</v>
      </c>
      <c r="S37" s="48">
        <f t="shared" si="7"/>
        <v>10.927239149089104</v>
      </c>
      <c r="T37" s="48">
        <f t="shared" si="7"/>
        <v>11.060211439379524</v>
      </c>
      <c r="U37" s="48">
        <f t="shared" si="7"/>
        <v>11.193808699434307</v>
      </c>
      <c r="V37" s="48">
        <f t="shared" si="7"/>
        <v>11.328033866611351</v>
      </c>
      <c r="W37" s="48">
        <f t="shared" si="7"/>
        <v>11.462889892074124</v>
      </c>
      <c r="X37" s="48">
        <f t="shared" si="7"/>
        <v>11.598379740856572</v>
      </c>
      <c r="Y37" s="48">
        <f t="shared" si="7"/>
        <v>11.734506391928294</v>
      </c>
      <c r="Z37" s="48">
        <f t="shared" si="7"/>
        <v>11.871272838260056</v>
      </c>
      <c r="AA37" s="48">
        <f t="shared" si="7"/>
        <v>12.00868208688958</v>
      </c>
      <c r="AB37" s="48">
        <f t="shared" si="7"/>
        <v>12.146737158987662</v>
      </c>
      <c r="AC37" s="48">
        <f t="shared" si="7"/>
        <v>12.285441089924605</v>
      </c>
      <c r="AD37" s="48">
        <f t="shared" si="7"/>
        <v>12.424796929336951</v>
      </c>
      <c r="AE37" s="48">
        <f t="shared" si="7"/>
        <v>12.564807741194532</v>
      </c>
      <c r="AF37" s="48">
        <f t="shared" si="7"/>
        <v>12.705476603867845</v>
      </c>
      <c r="AG37" s="48">
        <f t="shared" si="7"/>
        <v>12.846806610195731</v>
      </c>
      <c r="AH37" s="48">
        <f t="shared" si="7"/>
        <v>12.988800867553344</v>
      </c>
      <c r="AI37" s="48">
        <f t="shared" si="7"/>
        <v>13.13146249792055</v>
      </c>
      <c r="AJ37" s="48">
        <f t="shared" si="7"/>
        <v>13.274794637950471</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5"/>
      <c r="B38" s="749"/>
      <c r="C38" s="1562"/>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5">
        <f>C39*1000000/$C$16</f>
        <v>61.946587383568811</v>
      </c>
      <c r="B39" s="1549" t="s">
        <v>908</v>
      </c>
      <c r="C39" s="1563">
        <f>SUMIF($D$15:$BG$15,1,D39:BG39)</f>
        <v>340.3620982161944</v>
      </c>
      <c r="D39" s="1559">
        <f>'C-FCL Real'!C156</f>
        <v>-80.467785478824922</v>
      </c>
      <c r="E39" s="48">
        <f>'C-FCL Real'!D156</f>
        <v>-229.14846575333536</v>
      </c>
      <c r="F39" s="48">
        <f>'C-FCL Real'!E156</f>
        <v>-138.59815540294557</v>
      </c>
      <c r="G39" s="48">
        <f>'C-FCL Real'!F156</f>
        <v>20.787236813319772</v>
      </c>
      <c r="H39" s="48">
        <f>'C-FCL Real'!G156</f>
        <v>21.058795377064033</v>
      </c>
      <c r="I39" s="48">
        <f>'C-FCL Real'!H156</f>
        <v>21.331630266057932</v>
      </c>
      <c r="J39" s="48">
        <f>'C-FCL Real'!I156</f>
        <v>21.605747479030068</v>
      </c>
      <c r="K39" s="48">
        <f>'C-FCL Real'!J156</f>
        <v>21.881153042903197</v>
      </c>
      <c r="L39" s="48">
        <f>'C-FCL Real'!K156</f>
        <v>22.157853012926516</v>
      </c>
      <c r="M39" s="48">
        <f>'C-FCL Real'!L156</f>
        <v>22.435853472808937</v>
      </c>
      <c r="N39" s="48">
        <f>'C-FCL Real'!M156</f>
        <v>22.715160534852824</v>
      </c>
      <c r="O39" s="48">
        <f>'C-FCL Real'!N156</f>
        <v>22.995780340088306</v>
      </c>
      <c r="P39" s="48">
        <f>'C-FCL Real'!O156</f>
        <v>23.277719058408387</v>
      </c>
      <c r="Q39" s="48">
        <f>'C-FCL Real'!P156</f>
        <v>23.560982888704583</v>
      </c>
      <c r="R39" s="48">
        <f>'C-FCL Real'!Q156</f>
        <v>23.845578059003167</v>
      </c>
      <c r="S39" s="48">
        <f>'C-FCL Real'!O156</f>
        <v>23.277719058408387</v>
      </c>
      <c r="T39" s="48">
        <f>'C-FCL Real'!P156</f>
        <v>23.560982888704583</v>
      </c>
      <c r="U39" s="48">
        <f>'C-FCL Real'!Q156</f>
        <v>23.845578059003167</v>
      </c>
      <c r="V39" s="48">
        <f>'C-FCL Real'!R156</f>
        <v>24.13151082660216</v>
      </c>
      <c r="W39" s="48">
        <f>'C-FCL Real'!S156</f>
        <v>24.418787478208866</v>
      </c>
      <c r="X39" s="48">
        <f>'C-FCL Real'!T156</f>
        <v>24.707414330078119</v>
      </c>
      <c r="Y39" s="48">
        <f>'C-FCL Real'!U156</f>
        <v>24.997397728151153</v>
      </c>
      <c r="Z39" s="48">
        <f>'C-FCL Real'!V156</f>
        <v>25.288744048195134</v>
      </c>
      <c r="AA39" s="48">
        <f>'C-FCL Real'!W156</f>
        <v>25.58145969594333</v>
      </c>
      <c r="AB39" s="48">
        <f>'C-FCL Real'!X156</f>
        <v>25.875551107235939</v>
      </c>
      <c r="AC39" s="48">
        <f>'C-FCL Real'!Y156</f>
        <v>26.171024748161624</v>
      </c>
      <c r="AD39" s="48">
        <f>'C-FCL Real'!Z156</f>
        <v>26.467887115199659</v>
      </c>
      <c r="AE39" s="48">
        <f>'C-FCL Real'!AA156</f>
        <v>26.766144735362762</v>
      </c>
      <c r="AF39" s="48">
        <f>'C-FCL Real'!AB156</f>
        <v>27.065804166340641</v>
      </c>
      <c r="AG39" s="48">
        <f>'C-FCL Real'!AC156</f>
        <v>27.366871996644129</v>
      </c>
      <c r="AH39" s="48">
        <f>'C-FCL Real'!AD156</f>
        <v>27.669354845750018</v>
      </c>
      <c r="AI39" s="48">
        <f>'C-FCL Real'!AE156</f>
        <v>27.973259364246726</v>
      </c>
      <c r="AJ39" s="48">
        <f>'C-FCL Real'!AF156</f>
        <v>28.278592233980344</v>
      </c>
      <c r="AK39" s="48">
        <f>'C-FCL Real'!AG156</f>
        <v>28.585360168201742</v>
      </c>
      <c r="AL39" s="48">
        <f>'C-FCL Real'!AH156</f>
        <v>28.893569911713957</v>
      </c>
      <c r="AM39" s="48">
        <f>'C-FCL Real'!AI156</f>
        <v>29.203228241020689</v>
      </c>
      <c r="AN39" s="48">
        <f>'C-FCL Real'!AJ156</f>
        <v>29.514341964475168</v>
      </c>
      <c r="AO39" s="48">
        <f>'C-FCL Real'!AK156</f>
        <v>29.826917922429871</v>
      </c>
      <c r="AP39" s="48">
        <f>'C-FCL Real'!AL156</f>
        <v>30.140962987386974</v>
      </c>
      <c r="AQ39" s="48">
        <f>'C-FCL Real'!AM156</f>
        <v>30.456484064149361</v>
      </c>
      <c r="AR39" s="48">
        <f>'C-FCL Real'!AN156</f>
        <v>30.773488089972542</v>
      </c>
      <c r="AS39" s="48">
        <f>'C-FCL Real'!AO156</f>
        <v>31.091982034717084</v>
      </c>
      <c r="AT39" s="48">
        <f>'C-FCL Real'!AP156</f>
        <v>31.411972901001928</v>
      </c>
      <c r="AU39" s="48">
        <f>'C-FCL Real'!AQ156</f>
        <v>31.733467724358309</v>
      </c>
      <c r="AV39" s="48">
        <f>'C-FCL Real'!AR156</f>
        <v>32.056473573384473</v>
      </c>
      <c r="AW39" s="48">
        <f>'C-FCL Real'!AS156</f>
        <v>32.38099754990106</v>
      </c>
      <c r="AX39" s="48">
        <f>'C-FCL Real'!AT156</f>
        <v>32.707046789107267</v>
      </c>
      <c r="AY39" s="48">
        <f>'C-FCL Real'!AU156</f>
        <v>33.034628459737753</v>
      </c>
      <c r="AZ39" s="48">
        <f>'C-FCL Real'!AV156</f>
        <v>33.363749764220188</v>
      </c>
      <c r="BA39" s="48">
        <f>'C-FCL Real'!AW156</f>
        <v>33.694417938833709</v>
      </c>
      <c r="BB39" s="48">
        <f>'C-FCL Real'!AX156</f>
        <v>34.026640253867903</v>
      </c>
      <c r="BC39" s="48">
        <f>'C-FCL Real'!AY156</f>
        <v>34.360424013782762</v>
      </c>
      <c r="BD39" s="48">
        <f>'C-FCL Real'!AZ156</f>
        <v>34.695776557369214</v>
      </c>
      <c r="BE39" s="48">
        <f>'C-FCL Real'!BA156</f>
        <v>35.032705257910528</v>
      </c>
      <c r="BF39" s="48">
        <f>'C-FCL Real'!BB156</f>
        <v>35.371217523344377</v>
      </c>
      <c r="BG39" s="48">
        <f>'C-FCL Real'!BC156</f>
        <v>35.711320796425774</v>
      </c>
      <c r="BH39" s="48">
        <f>'C-FCL Real'!BD156</f>
        <v>0</v>
      </c>
    </row>
    <row r="40" spans="1:60" ht="15" hidden="1" customHeight="1" outlineLevel="1" x14ac:dyDescent="0.25">
      <c r="A40" s="1575">
        <f>C40*1000000/$C$16</f>
        <v>51.6565513635665</v>
      </c>
      <c r="B40" s="1596" t="s">
        <v>921</v>
      </c>
      <c r="C40" s="1562">
        <f>SUMIF($D$15:$BG$15,1,D40:BG40)</f>
        <v>283.82406442908717</v>
      </c>
      <c r="D40" s="1559">
        <f t="shared" ref="D40:AK40" si="8">NPV($C$8,D39:D39)</f>
        <v>-73.325847893953821</v>
      </c>
      <c r="E40" s="48">
        <f t="shared" si="8"/>
        <v>-208.81033875827899</v>
      </c>
      <c r="F40" s="48">
        <f t="shared" si="8"/>
        <v>-126.29684290408746</v>
      </c>
      <c r="G40" s="48">
        <f t="shared" si="8"/>
        <v>18.942260628139032</v>
      </c>
      <c r="H40" s="48">
        <f t="shared" si="8"/>
        <v>19.189716946477159</v>
      </c>
      <c r="I40" s="48">
        <f t="shared" si="8"/>
        <v>19.438336309511513</v>
      </c>
      <c r="J40" s="48">
        <f t="shared" si="8"/>
        <v>19.688124183552095</v>
      </c>
      <c r="K40" s="48">
        <f t="shared" si="8"/>
        <v>19.93908606060069</v>
      </c>
      <c r="L40" s="48">
        <f t="shared" si="8"/>
        <v>20.191227458471403</v>
      </c>
      <c r="M40" s="48">
        <f t="shared" si="8"/>
        <v>20.444553920912099</v>
      </c>
      <c r="N40" s="48">
        <f t="shared" si="8"/>
        <v>20.699071017726286</v>
      </c>
      <c r="O40" s="48">
        <f t="shared" si="8"/>
        <v>20.954784344895486</v>
      </c>
      <c r="P40" s="48">
        <f t="shared" si="8"/>
        <v>21.211699524702375</v>
      </c>
      <c r="Q40" s="48">
        <f t="shared" si="8"/>
        <v>21.469822205854371</v>
      </c>
      <c r="R40" s="48">
        <f t="shared" si="8"/>
        <v>21.72915806360777</v>
      </c>
      <c r="S40" s="48">
        <f t="shared" si="8"/>
        <v>21.211699524702375</v>
      </c>
      <c r="T40" s="48">
        <f t="shared" si="8"/>
        <v>21.469822205854371</v>
      </c>
      <c r="U40" s="48">
        <f t="shared" si="8"/>
        <v>21.72915806360777</v>
      </c>
      <c r="V40" s="48">
        <f t="shared" si="8"/>
        <v>21.989712799892619</v>
      </c>
      <c r="W40" s="48">
        <f t="shared" si="8"/>
        <v>22.251492143438007</v>
      </c>
      <c r="X40" s="48">
        <f t="shared" si="8"/>
        <v>22.51450184989805</v>
      </c>
      <c r="Y40" s="48">
        <f t="shared" si="8"/>
        <v>22.778747701978453</v>
      </c>
      <c r="Z40" s="48">
        <f t="shared" si="8"/>
        <v>23.044235509563638</v>
      </c>
      <c r="AA40" s="48">
        <f t="shared" si="8"/>
        <v>23.310971109844481</v>
      </c>
      <c r="AB40" s="48">
        <f t="shared" si="8"/>
        <v>23.578960367446637</v>
      </c>
      <c r="AC40" s="48">
        <f t="shared" si="8"/>
        <v>23.848209174559528</v>
      </c>
      <c r="AD40" s="48">
        <f t="shared" si="8"/>
        <v>24.118723451065847</v>
      </c>
      <c r="AE40" s="48">
        <f t="shared" si="8"/>
        <v>24.390509144671736</v>
      </c>
      <c r="AF40" s="48">
        <f t="shared" si="8"/>
        <v>24.66357223103758</v>
      </c>
      <c r="AG40" s="48">
        <f t="shared" si="8"/>
        <v>24.937918713909358</v>
      </c>
      <c r="AH40" s="48">
        <f t="shared" si="8"/>
        <v>25.213554625250609</v>
      </c>
      <c r="AI40" s="48">
        <f t="shared" si="8"/>
        <v>25.490486025375183</v>
      </c>
      <c r="AJ40" s="48">
        <f t="shared" si="8"/>
        <v>25.768719003080321</v>
      </c>
      <c r="AK40" s="48">
        <f t="shared" si="8"/>
        <v>26.048259675780702</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2"/>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5">
        <f>A24+A27+A30</f>
        <v>591.2343349009484</v>
      </c>
      <c r="B42" s="1548" t="s">
        <v>909</v>
      </c>
      <c r="C42" s="1562"/>
      <c r="D42" s="1559">
        <f>'C-FCL Real'!C157</f>
        <v>-80.467785478824922</v>
      </c>
      <c r="E42" s="48">
        <f>'C-FCL Real'!D157</f>
        <v>-309.61625123216027</v>
      </c>
      <c r="F42" s="48">
        <f>'C-FCL Real'!E157</f>
        <v>-448.21440663510583</v>
      </c>
      <c r="G42" s="48">
        <f>'C-FCL Real'!F157</f>
        <v>-427.42716982178604</v>
      </c>
      <c r="H42" s="48">
        <f>'C-FCL Real'!G157</f>
        <v>-406.36837444472201</v>
      </c>
      <c r="I42" s="48">
        <f>'C-FCL Real'!H157</f>
        <v>-385.03674417866409</v>
      </c>
      <c r="J42" s="48">
        <f>'C-FCL Real'!I157</f>
        <v>-363.43099669963402</v>
      </c>
      <c r="K42" s="48">
        <f>'C-FCL Real'!J157</f>
        <v>-341.54984365673084</v>
      </c>
      <c r="L42" s="48">
        <f>'C-FCL Real'!K157</f>
        <v>-319.39199064380432</v>
      </c>
      <c r="M42" s="48">
        <f>'C-FCL Real'!L157</f>
        <v>-296.95613717099536</v>
      </c>
      <c r="N42" s="48">
        <f>'C-FCL Real'!M157</f>
        <v>-274.24097663614253</v>
      </c>
      <c r="O42" s="48">
        <f>'C-FCL Real'!N157</f>
        <v>-251.24519629605422</v>
      </c>
      <c r="P42" s="48">
        <f>'C-FCL Real'!O157</f>
        <v>-227.96747723764582</v>
      </c>
      <c r="Q42" s="48">
        <f>'C-FCL Real'!P157</f>
        <v>-204.40649434894124</v>
      </c>
      <c r="R42" s="48">
        <f>'C-FCL Real'!Q157</f>
        <v>-180.56091628993806</v>
      </c>
      <c r="S42" s="48">
        <f>'C-FCL Real'!O157</f>
        <v>-227.96747723764582</v>
      </c>
      <c r="T42" s="48">
        <f>'C-FCL Real'!P157</f>
        <v>-204.40649434894124</v>
      </c>
      <c r="U42" s="48">
        <f>'C-FCL Real'!Q157</f>
        <v>-180.56091628993806</v>
      </c>
      <c r="V42" s="48">
        <f>'C-FCL Real'!R157</f>
        <v>-156.42940546333591</v>
      </c>
      <c r="W42" s="48">
        <f>'C-FCL Real'!S157</f>
        <v>-132.01061798512706</v>
      </c>
      <c r="X42" s="48">
        <f>'C-FCL Real'!T157</f>
        <v>-107.30320365504893</v>
      </c>
      <c r="Y42" s="48">
        <f>'C-FCL Real'!U157</f>
        <v>-82.305805926897776</v>
      </c>
      <c r="Z42" s="48">
        <f>'C-FCL Real'!V157</f>
        <v>-57.017061878702641</v>
      </c>
      <c r="AA42" s="48">
        <f>'C-FCL Real'!W157</f>
        <v>-31.435602182759311</v>
      </c>
      <c r="AB42" s="48">
        <f>'C-FCL Real'!X157</f>
        <v>-5.5600510755233721</v>
      </c>
      <c r="AC42" s="48">
        <f>'C-FCL Real'!Y157</f>
        <v>20.610973672638252</v>
      </c>
      <c r="AD42" s="48">
        <f>'C-FCL Real'!Z157</f>
        <v>47.078860787837911</v>
      </c>
      <c r="AE42" s="48">
        <f>'C-FCL Real'!AA157</f>
        <v>73.845005523200669</v>
      </c>
      <c r="AF42" s="48">
        <f>'C-FCL Real'!AB157</f>
        <v>100.91080968954131</v>
      </c>
      <c r="AG42" s="48">
        <f>'C-FCL Real'!AC157</f>
        <v>128.27768168618545</v>
      </c>
      <c r="AH42" s="48">
        <f>'C-FCL Real'!AD157</f>
        <v>155.94703653193545</v>
      </c>
      <c r="AI42" s="48">
        <f>'C-FCL Real'!AE157</f>
        <v>183.92029589618218</v>
      </c>
      <c r="AJ42" s="48">
        <f>'C-FCL Real'!AF157</f>
        <v>212.19888813016252</v>
      </c>
      <c r="AK42" s="48">
        <f>'C-FCL Real'!AG157</f>
        <v>240.78424829836425</v>
      </c>
      <c r="AL42" s="48">
        <f>'C-FCL Real'!AH157</f>
        <v>269.67781821007821</v>
      </c>
      <c r="AM42" s="48">
        <f>'C-FCL Real'!AI157</f>
        <v>298.88104645109888</v>
      </c>
      <c r="AN42" s="48">
        <f>'C-FCL Real'!AJ157</f>
        <v>328.39538841557408</v>
      </c>
      <c r="AO42" s="48">
        <f>'C-FCL Real'!AK157</f>
        <v>358.22230633800393</v>
      </c>
      <c r="AP42" s="48">
        <f>'C-FCL Real'!AL157</f>
        <v>388.36326932539089</v>
      </c>
      <c r="AQ42" s="48">
        <f>'C-FCL Real'!AM157</f>
        <v>418.81975338954027</v>
      </c>
      <c r="AR42" s="48">
        <f>'C-FCL Real'!AN157</f>
        <v>449.59324147951281</v>
      </c>
      <c r="AS42" s="48">
        <f>'C-FCL Real'!AO157</f>
        <v>480.6852235142299</v>
      </c>
      <c r="AT42" s="48">
        <f>'C-FCL Real'!AP157</f>
        <v>512.09719641523179</v>
      </c>
      <c r="AU42" s="48">
        <f>'C-FCL Real'!AQ157</f>
        <v>543.83066413959011</v>
      </c>
      <c r="AV42" s="48">
        <f>'C-FCL Real'!AR157</f>
        <v>575.88713771297455</v>
      </c>
      <c r="AW42" s="48">
        <f>'C-FCL Real'!AS157</f>
        <v>608.2681352628756</v>
      </c>
      <c r="AX42" s="48">
        <f>'C-FCL Real'!AT157</f>
        <v>640.97518205198287</v>
      </c>
      <c r="AY42" s="48">
        <f>'C-FCL Real'!AU157</f>
        <v>674.00981051172062</v>
      </c>
      <c r="AZ42" s="48">
        <f>'C-FCL Real'!AV157</f>
        <v>707.3735602759408</v>
      </c>
      <c r="BA42" s="48">
        <f>'C-FCL Real'!AW157</f>
        <v>741.06797821477448</v>
      </c>
      <c r="BB42" s="48">
        <f>'C-FCL Real'!AX157</f>
        <v>775.09461846864235</v>
      </c>
      <c r="BC42" s="48">
        <f>'C-FCL Real'!AY157</f>
        <v>809.45504248242514</v>
      </c>
      <c r="BD42" s="48">
        <f>'C-FCL Real'!AZ157</f>
        <v>844.15081903979433</v>
      </c>
      <c r="BE42" s="48">
        <f>'C-FCL Real'!BA157</f>
        <v>879.18352429770482</v>
      </c>
      <c r="BF42" s="48">
        <f>'C-FCL Real'!BB157</f>
        <v>914.55474182104922</v>
      </c>
      <c r="BG42" s="48">
        <f>'C-FCL Real'!BC157</f>
        <v>950.26606261747497</v>
      </c>
      <c r="BH42" s="48">
        <f>'C-FCL Real'!BD157</f>
        <v>0</v>
      </c>
    </row>
    <row r="43" spans="1:60" ht="15" hidden="1" customHeight="1" outlineLevel="1" x14ac:dyDescent="0.25">
      <c r="A43" s="1575">
        <f>A18+A21+A36</f>
        <v>529.28774751737978</v>
      </c>
      <c r="B43" s="1548" t="s">
        <v>948</v>
      </c>
      <c r="C43" s="1564">
        <f>'R&amp;C-Painel de Controle'!D32</f>
        <v>35</v>
      </c>
      <c r="D43" s="1551" t="s">
        <v>260</v>
      </c>
    </row>
    <row r="44" spans="1:60" ht="15" hidden="1" customHeight="1" outlineLevel="1" x14ac:dyDescent="0.25">
      <c r="A44" s="1575">
        <f>A42-A43</f>
        <v>61.946587383568612</v>
      </c>
      <c r="B44" s="1548" t="s">
        <v>930</v>
      </c>
      <c r="C44" s="33"/>
      <c r="D44" s="749"/>
      <c r="F44" s="1498"/>
      <c r="G44" s="1498"/>
    </row>
    <row r="45" spans="1:60" ht="15" hidden="1" customHeight="1" outlineLevel="1" x14ac:dyDescent="0.25">
      <c r="A45" s="1575"/>
      <c r="B45" s="1834" t="s">
        <v>1030</v>
      </c>
      <c r="C45" s="1835">
        <v>160</v>
      </c>
      <c r="D45" s="1836" t="s">
        <v>293</v>
      </c>
      <c r="E45" s="1837"/>
      <c r="F45" s="1838"/>
      <c r="G45" s="1838"/>
      <c r="H45" s="1837"/>
    </row>
    <row r="46" spans="1:60" ht="15" hidden="1" customHeight="1" outlineLevel="1" x14ac:dyDescent="0.25">
      <c r="B46" s="1501" t="s">
        <v>927</v>
      </c>
      <c r="C46" s="1563">
        <f>F46*$C$16/1000000</f>
        <v>3177.5091723307819</v>
      </c>
      <c r="D46" s="1518" t="s">
        <v>967</v>
      </c>
      <c r="E46" s="1518"/>
      <c r="F46" s="1534">
        <f>A27</f>
        <v>578.31306904463884</v>
      </c>
      <c r="G46" s="1518" t="s">
        <v>293</v>
      </c>
      <c r="H46" s="1518"/>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501" t="s">
        <v>929</v>
      </c>
      <c r="C48" s="1563">
        <f>F48*$C$16/1000000</f>
        <v>70.995180593746767</v>
      </c>
      <c r="D48" s="1518" t="s">
        <v>967</v>
      </c>
      <c r="E48" s="1518"/>
      <c r="F48" s="1534">
        <f>A30</f>
        <v>12.921265856309528</v>
      </c>
      <c r="G48" s="1518" t="s">
        <v>293</v>
      </c>
      <c r="H48" s="1518"/>
    </row>
    <row r="49" spans="1:8" s="39" customFormat="1" ht="15" hidden="1" customHeight="1" outlineLevel="1" thickTop="1" x14ac:dyDescent="0.25">
      <c r="B49" s="1519" t="s">
        <v>931</v>
      </c>
      <c r="C49" s="1536">
        <f>C46+C47+C48</f>
        <v>3248.5043529245286</v>
      </c>
      <c r="D49" s="1520" t="s">
        <v>967</v>
      </c>
      <c r="E49" s="1520"/>
      <c r="F49" s="1521">
        <f>F46+F47+F48</f>
        <v>591.2343349009484</v>
      </c>
      <c r="G49" s="1520" t="s">
        <v>293</v>
      </c>
      <c r="H49" s="1520"/>
    </row>
    <row r="50" spans="1:8" ht="15" hidden="1" customHeight="1" outlineLevel="1" x14ac:dyDescent="0.25">
      <c r="B50" s="1618" t="s">
        <v>933</v>
      </c>
      <c r="C50" s="1619">
        <f>F50*$C$16/1000000</f>
        <v>2501.9058734213017</v>
      </c>
      <c r="D50" s="1620" t="s">
        <v>967</v>
      </c>
      <c r="E50" s="1620"/>
      <c r="F50" s="1621">
        <f>A18+A21</f>
        <v>455.35190794044343</v>
      </c>
      <c r="G50" s="1620" t="s">
        <v>293</v>
      </c>
      <c r="H50" s="1620"/>
    </row>
    <row r="51" spans="1:8" ht="15" hidden="1" customHeight="1" outlineLevel="1" x14ac:dyDescent="0.25">
      <c r="B51" s="1501" t="s">
        <v>934</v>
      </c>
      <c r="C51" s="1574">
        <f>F51*$C$16/1000000</f>
        <v>406.23638128703351</v>
      </c>
      <c r="D51" s="1518" t="s">
        <v>967</v>
      </c>
      <c r="E51" s="1518"/>
      <c r="F51" s="1535">
        <f>A36</f>
        <v>73.935839576936331</v>
      </c>
      <c r="G51" s="1518" t="s">
        <v>293</v>
      </c>
      <c r="H51" s="1518"/>
    </row>
    <row r="52" spans="1:8" s="1499" customFormat="1" ht="15" hidden="1" customHeight="1" outlineLevel="1" thickBot="1" x14ac:dyDescent="0.3">
      <c r="B52" s="1554"/>
      <c r="C52" s="1573"/>
      <c r="D52" s="1529"/>
      <c r="E52" s="1529"/>
      <c r="F52" s="1529"/>
      <c r="G52" s="1529"/>
      <c r="H52" s="1529"/>
    </row>
    <row r="53" spans="1:8" s="42" customFormat="1" ht="15" hidden="1" customHeight="1" outlineLevel="1" thickTop="1" x14ac:dyDescent="0.25">
      <c r="B53" s="1592" t="s">
        <v>932</v>
      </c>
      <c r="C53" s="1593">
        <f>C49-C50-C51</f>
        <v>340.36209821619332</v>
      </c>
      <c r="D53" s="1594" t="s">
        <v>967</v>
      </c>
      <c r="E53" s="1594"/>
      <c r="F53" s="1595">
        <f>F49-F50-F51</f>
        <v>61.946587383568641</v>
      </c>
      <c r="G53" s="1594" t="s">
        <v>293</v>
      </c>
      <c r="H53" s="1594"/>
    </row>
    <row r="54" spans="1:8" ht="15" customHeight="1" thickTop="1" thickBot="1" x14ac:dyDescent="0.3">
      <c r="A54" s="1575"/>
      <c r="D54" s="749"/>
      <c r="F54" s="1498"/>
      <c r="G54" s="1498"/>
    </row>
    <row r="55" spans="1:8" s="1528" customFormat="1" ht="25.15" customHeight="1" collapsed="1" thickTop="1" thickBot="1" x14ac:dyDescent="0.3">
      <c r="B55" s="2930" t="s">
        <v>988</v>
      </c>
      <c r="C55" s="2931"/>
      <c r="D55" s="2931"/>
      <c r="E55" s="2931"/>
      <c r="F55" s="2931"/>
      <c r="G55" s="2931"/>
      <c r="H55" s="2932"/>
    </row>
    <row r="56" spans="1:8" s="1499" customFormat="1" ht="15" hidden="1" customHeight="1" outlineLevel="1" thickTop="1" x14ac:dyDescent="0.25">
      <c r="B56" s="1552"/>
      <c r="C56" s="1565"/>
      <c r="D56" s="1508"/>
      <c r="E56" s="1508"/>
      <c r="F56" s="1509"/>
      <c r="G56" s="1508"/>
      <c r="H56" s="1510"/>
    </row>
    <row r="57" spans="1:8" s="42" customFormat="1" ht="15" hidden="1" customHeight="1" outlineLevel="1" x14ac:dyDescent="0.25">
      <c r="B57" s="1511" t="s">
        <v>923</v>
      </c>
      <c r="C57" s="1523">
        <f>C58*C59</f>
        <v>14784707.405228438</v>
      </c>
      <c r="D57" s="1512" t="s">
        <v>922</v>
      </c>
      <c r="E57" s="1512"/>
      <c r="F57" s="1513">
        <f>C57/'R&amp;C-Painel de Controle'!$D$8</f>
        <v>101.26511921389341</v>
      </c>
      <c r="G57" s="1512" t="s">
        <v>293</v>
      </c>
      <c r="H57" s="1514">
        <f>F57/$F$99</f>
        <v>0.25695689936592364</v>
      </c>
    </row>
    <row r="58" spans="1:8" s="1499" customFormat="1" ht="15" hidden="1" customHeight="1" outlineLevel="1" x14ac:dyDescent="0.25">
      <c r="B58" s="1507" t="s">
        <v>940</v>
      </c>
      <c r="C58" s="1566">
        <f>('R&amp;C-Painel de Controle'!D8-'R&amp;C-Painel de Controle'!D9)</f>
        <v>117061.97874999999</v>
      </c>
      <c r="D58" s="1508" t="s">
        <v>249</v>
      </c>
      <c r="E58" s="1508"/>
      <c r="F58" s="1509"/>
      <c r="G58" s="1508"/>
      <c r="H58" s="1510"/>
    </row>
    <row r="59" spans="1:8" s="1499" customFormat="1" ht="15" hidden="1" customHeight="1" outlineLevel="1" x14ac:dyDescent="0.25">
      <c r="B59" s="1524" t="s">
        <v>941</v>
      </c>
      <c r="C59" s="1567">
        <f>IF('R-Definição'!E121="Novo",(('R&amp;C-Painel de Controle'!L73*'C-Dados RT Simplif.'!C105+'R&amp;C-Painel de Controle'!P73*'C-Dados RT Simplif.'!C105*'C-Dados RT Simplif.'!C7)/('C-Dados RT Simplif.'!C7*'C-Dados RT Simplif.'!C105)),('R&amp;C-Painel de Controle'!D88+'R&amp;C-Painel de Controle'!D89))</f>
        <v>126.2981162893459</v>
      </c>
      <c r="D59" s="1525" t="s">
        <v>293</v>
      </c>
      <c r="E59" s="1525"/>
      <c r="F59" s="1526"/>
      <c r="G59" s="1525"/>
      <c r="H59" s="1527"/>
    </row>
    <row r="60" spans="1:8" s="1499" customFormat="1" ht="15" hidden="1" customHeight="1" outlineLevel="1" x14ac:dyDescent="0.25">
      <c r="B60" s="1553"/>
      <c r="C60" s="1568"/>
      <c r="D60" s="1503"/>
      <c r="E60" s="1503"/>
      <c r="F60" s="1504"/>
      <c r="G60" s="1503"/>
      <c r="H60" s="1505"/>
    </row>
    <row r="61" spans="1:8" s="42" customFormat="1" ht="15" hidden="1" customHeight="1" outlineLevel="1" x14ac:dyDescent="0.25">
      <c r="B61" s="1501" t="s">
        <v>942</v>
      </c>
      <c r="C61" s="1597">
        <f>IF(C68="Sim",(C62*C71+C63*C72+C64*C73+C65*C74+C66*C76+C67*C75)*C69*((1-C93)+(1-C70)*(1-C89)),0)</f>
        <v>4865534.6656030985</v>
      </c>
      <c r="D61" s="1598" t="s">
        <v>922</v>
      </c>
      <c r="E61" s="1598"/>
      <c r="F61" s="1599">
        <f>C61/'R&amp;C-Painel de Controle'!$D$8</f>
        <v>33.325579901391087</v>
      </c>
      <c r="G61" s="1598" t="s">
        <v>293</v>
      </c>
      <c r="H61" s="1600">
        <f>F61/$F$99</f>
        <v>8.4562559620805097E-2</v>
      </c>
    </row>
    <row r="62" spans="1:8" s="1499" customFormat="1" ht="15" hidden="1" customHeight="1" outlineLevel="1" x14ac:dyDescent="0.25">
      <c r="B62" s="1502" t="str">
        <f>'R&amp;C-Painel de Controle'!J36</f>
        <v>Mat. Recicl.: Papel/Papelão — Triagem Mecanizada</v>
      </c>
      <c r="C62" s="1569">
        <f>'R&amp;C-Painel de Controle'!L36</f>
        <v>583.2065511166843</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6">
        <f>'R&amp;C-Painel de Controle'!L37</f>
        <v>396.22429808690765</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6">
        <f>'R&amp;C-Painel de Controle'!L38</f>
        <v>204.79008665166012</v>
      </c>
      <c r="D64" s="1508" t="s">
        <v>249</v>
      </c>
      <c r="E64" s="1508"/>
      <c r="F64" s="1509"/>
      <c r="G64" s="1508"/>
      <c r="H64" s="1510"/>
    </row>
    <row r="65" spans="2:8" s="1499" customFormat="1" ht="15" hidden="1" customHeight="1" outlineLevel="1" x14ac:dyDescent="0.25">
      <c r="B65" s="1507" t="str">
        <f>'R&amp;C-Painel de Controle'!J39</f>
        <v>Mat. Recicl.: Vidros — Triagem Mecânica</v>
      </c>
      <c r="C65" s="1566">
        <f>'R&amp;C-Painel de Controle'!L39</f>
        <v>106.84700173130095</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6">
        <f>'R&amp;C-Painel de Controle'!L40+'R&amp;C-Painel de Controle'!L42</f>
        <v>768.41141288340623</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6">
        <f>'R&amp;C-Painel de Controle'!L41+'R&amp;C-Painel de Controle'!L43</f>
        <v>2945.5770827197239</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6"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0">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0">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6">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6">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6">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6">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6">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6">
        <f>'R&amp;C-Painel de Controle'!D106</f>
        <v>900</v>
      </c>
      <c r="D76" s="1508" t="s">
        <v>293</v>
      </c>
      <c r="E76" s="1508"/>
      <c r="F76" s="1509"/>
      <c r="G76" s="1508"/>
      <c r="H76" s="1510"/>
    </row>
    <row r="77" spans="2:8" s="1499" customFormat="1" ht="15" hidden="1" customHeight="1" outlineLevel="1" x14ac:dyDescent="0.25">
      <c r="B77" s="1552"/>
      <c r="C77" s="1565"/>
      <c r="D77" s="1508"/>
      <c r="E77" s="1508"/>
      <c r="F77" s="1509"/>
      <c r="G77" s="1508"/>
      <c r="H77" s="1510"/>
    </row>
    <row r="78" spans="2:8" ht="15" hidden="1" customHeight="1" outlineLevel="1" x14ac:dyDescent="0.25">
      <c r="B78" s="1501"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5019299.934761513</v>
      </c>
      <c r="D78" s="1518" t="s">
        <v>922</v>
      </c>
      <c r="E78" s="1518"/>
      <c r="F78" s="1535">
        <f>C78/'R&amp;C-Painel de Controle'!$D$8</f>
        <v>34.37876667644872</v>
      </c>
      <c r="G78" s="1518" t="s">
        <v>293</v>
      </c>
      <c r="H78" s="1601">
        <f>F78/$F$99</f>
        <v>8.7234986318890456E-2</v>
      </c>
    </row>
    <row r="79" spans="2:8" ht="15" hidden="1" customHeight="1" outlineLevel="1" x14ac:dyDescent="0.25">
      <c r="B79" s="1501"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7027019.908666118</v>
      </c>
      <c r="D79" s="1518" t="s">
        <v>922</v>
      </c>
      <c r="E79" s="1518"/>
      <c r="F79" s="1535">
        <f>C79/'R&amp;C-Painel de Controle'!$D$8</f>
        <v>48.130273347028208</v>
      </c>
      <c r="G79" s="1518" t="s">
        <v>293</v>
      </c>
      <c r="H79" s="1601">
        <f>F79/$F$99</f>
        <v>0.12212898084644665</v>
      </c>
    </row>
    <row r="80" spans="2:8" s="1499" customFormat="1" ht="15" hidden="1" customHeight="1" outlineLevel="1" x14ac:dyDescent="0.25">
      <c r="B80" s="1552"/>
      <c r="C80" s="1565"/>
      <c r="D80" s="1508"/>
      <c r="E80" s="1508"/>
      <c r="F80" s="1509"/>
      <c r="G80" s="1508"/>
      <c r="H80" s="1510"/>
    </row>
    <row r="81" spans="2:8" ht="15" hidden="1" customHeight="1" outlineLevel="1" x14ac:dyDescent="0.25">
      <c r="B81" s="1602" t="s">
        <v>937</v>
      </c>
      <c r="C81" s="1603">
        <f>(C82*C83+C84*C85)*C86</f>
        <v>5033248.565337522</v>
      </c>
      <c r="D81" s="1604" t="s">
        <v>922</v>
      </c>
      <c r="E81" s="1604"/>
      <c r="F81" s="1605">
        <f>C81/'R&amp;C-Painel de Controle'!$D$8</f>
        <v>34.474305242037822</v>
      </c>
      <c r="G81" s="1604" t="s">
        <v>293</v>
      </c>
      <c r="H81" s="1606">
        <f>F81/$F$99</f>
        <v>8.7477412277346997E-2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674.41757322989974</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117.5216674778345</v>
      </c>
      <c r="D85" s="1499" t="s">
        <v>293</v>
      </c>
      <c r="E85" s="1499"/>
      <c r="F85" s="1530"/>
      <c r="G85" s="1499"/>
      <c r="H85" s="1531"/>
    </row>
    <row r="86" spans="2:8" ht="15" hidden="1" customHeight="1" outlineLevel="1" x14ac:dyDescent="0.25">
      <c r="B86" s="1516" t="s">
        <v>947</v>
      </c>
      <c r="C86" s="1571">
        <f>'C-FCL Real'!C10</f>
        <v>0.05</v>
      </c>
      <c r="D86" s="1517" t="s">
        <v>194</v>
      </c>
      <c r="E86" s="1517"/>
      <c r="F86" s="1532"/>
      <c r="G86" s="1517"/>
      <c r="H86" s="1533"/>
    </row>
    <row r="87" spans="2:8" s="1499" customFormat="1" ht="15" hidden="1" customHeight="1" outlineLevel="1" x14ac:dyDescent="0.25">
      <c r="B87" s="1552"/>
      <c r="C87" s="1565"/>
      <c r="D87" s="1508"/>
      <c r="E87" s="1508"/>
      <c r="F87" s="1509"/>
      <c r="G87" s="1508"/>
      <c r="H87" s="1510"/>
    </row>
    <row r="88" spans="2:8" ht="15" hidden="1" customHeight="1" outlineLevel="1" x14ac:dyDescent="0.25">
      <c r="B88" s="1602" t="s">
        <v>938</v>
      </c>
      <c r="C88" s="1603">
        <f>(C62*C71+C63*C72+C64*C73+C65*C74+C66*C76+C67*C75)*C89*C90</f>
        <v>93120.280681399017</v>
      </c>
      <c r="D88" s="1604" t="s">
        <v>922</v>
      </c>
      <c r="E88" s="1604"/>
      <c r="F88" s="1605">
        <f>C88/'R&amp;C-Painel de Controle'!$D$8</f>
        <v>0.63781014165341787</v>
      </c>
      <c r="G88" s="1604" t="s">
        <v>293</v>
      </c>
      <c r="H88" s="1606">
        <f>F88/$F$99</f>
        <v>1.6184221936996188E-3</v>
      </c>
    </row>
    <row r="89" spans="2:8" ht="15" hidden="1" customHeight="1" outlineLevel="1" x14ac:dyDescent="0.25">
      <c r="B89" s="1516" t="s">
        <v>966</v>
      </c>
      <c r="C89" s="1571">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1">
        <f>'R&amp;C-Painel de Controle'!D100</f>
        <v>0.25</v>
      </c>
      <c r="D90" s="1517" t="s">
        <v>194</v>
      </c>
      <c r="E90" s="1517"/>
      <c r="F90" s="1532"/>
      <c r="G90" s="1517"/>
      <c r="H90" s="1533"/>
    </row>
    <row r="91" spans="2:8" s="1499" customFormat="1" ht="15" hidden="1" customHeight="1" outlineLevel="1" x14ac:dyDescent="0.25">
      <c r="B91" s="1552"/>
      <c r="C91" s="1565"/>
      <c r="D91" s="1508"/>
      <c r="E91" s="1508"/>
      <c r="F91" s="1509"/>
      <c r="G91" s="1508"/>
      <c r="H91" s="1510"/>
    </row>
    <row r="92" spans="2:8" ht="15" hidden="1" customHeight="1" outlineLevel="1" x14ac:dyDescent="0.25">
      <c r="B92" s="1602" t="s">
        <v>939</v>
      </c>
      <c r="C92" s="1603">
        <f>'R&amp;C-Painel de Controle'!D33*'R&amp;C-Painel de Controle'!D8*(C93)+C36*1000000/'R&amp;C-Painel de Controle'!D32</f>
        <v>20714763.077527896</v>
      </c>
      <c r="D92" s="1604" t="s">
        <v>922</v>
      </c>
      <c r="E92" s="1607"/>
      <c r="F92" s="1608">
        <f>C92/'R&amp;C-Painel de Controle'!$D$8</f>
        <v>141.88193888717737</v>
      </c>
      <c r="G92" s="1607" t="s">
        <v>293</v>
      </c>
      <c r="H92" s="1609">
        <f>F92/$F$99</f>
        <v>0.3600207393768875</v>
      </c>
    </row>
    <row r="93" spans="2:8" ht="15" hidden="1" customHeight="1" outlineLevel="1" x14ac:dyDescent="0.25">
      <c r="B93" s="1516" t="s">
        <v>976</v>
      </c>
      <c r="C93" s="1572">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674.41757322989974</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117.5216674778345</v>
      </c>
      <c r="D97" s="1499" t="s">
        <v>293</v>
      </c>
      <c r="E97" s="1499"/>
      <c r="F97" s="1530"/>
      <c r="G97" s="1499"/>
      <c r="H97" s="1531"/>
    </row>
    <row r="98" spans="2:8" s="1499" customFormat="1" ht="15" hidden="1" customHeight="1" outlineLevel="1" thickBot="1" x14ac:dyDescent="0.3">
      <c r="B98" s="1554"/>
      <c r="C98" s="1573"/>
      <c r="D98" s="1529"/>
      <c r="E98" s="1529"/>
      <c r="F98" s="1529"/>
      <c r="G98" s="1529"/>
      <c r="H98" s="1529"/>
    </row>
    <row r="99" spans="2:8" s="39" customFormat="1" ht="15" hidden="1" customHeight="1" outlineLevel="1" thickTop="1" x14ac:dyDescent="0.25">
      <c r="B99" s="1610" t="s">
        <v>926</v>
      </c>
      <c r="C99" s="1611">
        <f>C57+C61+C78+C79+C81+C88+C92</f>
        <v>57537693.837805986</v>
      </c>
      <c r="D99" s="1612" t="s">
        <v>922</v>
      </c>
      <c r="E99" s="1613"/>
      <c r="F99" s="1614">
        <f>C99/'R&amp;C-Painel de Controle'!$D$8</f>
        <v>394.09379340963005</v>
      </c>
      <c r="G99" s="1613" t="s">
        <v>293</v>
      </c>
      <c r="H99" s="1615">
        <f>F99/$F$99</f>
        <v>1</v>
      </c>
    </row>
    <row r="100" spans="2:8" ht="15" customHeight="1" thickTop="1" thickBot="1" x14ac:dyDescent="0.3">
      <c r="D100" s="1499"/>
      <c r="E100" s="1499"/>
      <c r="F100" s="1499"/>
      <c r="G100" s="1499"/>
      <c r="H100" s="1499"/>
    </row>
    <row r="101" spans="2:8" ht="25.15" customHeight="1" collapsed="1" thickTop="1" thickBot="1" x14ac:dyDescent="0.3">
      <c r="B101" s="2930" t="s">
        <v>989</v>
      </c>
      <c r="C101" s="2931"/>
      <c r="D101" s="2931"/>
      <c r="E101" s="2931"/>
      <c r="F101" s="2931"/>
      <c r="G101" s="2931"/>
      <c r="H101" s="2932"/>
    </row>
    <row r="102" spans="2:8" ht="15" hidden="1" customHeight="1" outlineLevel="1" thickTop="1" x14ac:dyDescent="0.25">
      <c r="B102" s="1664" t="s">
        <v>241</v>
      </c>
      <c r="C102" s="1623">
        <f>'R&amp;C-Painel de Controle'!D6</f>
        <v>411597</v>
      </c>
      <c r="D102" s="1499" t="s">
        <v>242</v>
      </c>
      <c r="F102" s="37"/>
      <c r="G102" s="1522"/>
    </row>
    <row r="103" spans="2:8" ht="15" hidden="1" customHeight="1" outlineLevel="1" x14ac:dyDescent="0.25">
      <c r="B103" s="1622" t="s">
        <v>975</v>
      </c>
      <c r="C103" s="1623">
        <f>'R&amp;C-Painel de Controle'!D8</f>
        <v>146000</v>
      </c>
      <c r="D103" s="1624" t="s">
        <v>249</v>
      </c>
      <c r="E103" s="1625"/>
      <c r="F103" s="1625"/>
      <c r="G103" s="1625"/>
      <c r="H103" s="1625"/>
    </row>
    <row r="104" spans="2:8" ht="15" hidden="1" customHeight="1" outlineLevel="1" x14ac:dyDescent="0.25">
      <c r="B104" s="1622" t="s">
        <v>975</v>
      </c>
      <c r="C104" s="1623">
        <f>C103/312</f>
        <v>467.94871794871796</v>
      </c>
      <c r="D104" s="1624" t="s">
        <v>21</v>
      </c>
      <c r="E104" s="1625"/>
      <c r="F104" s="1625"/>
      <c r="G104" s="1625"/>
      <c r="H104" s="1625"/>
    </row>
    <row r="105" spans="2:8" ht="15" hidden="1" customHeight="1" outlineLevel="1" x14ac:dyDescent="0.25">
      <c r="B105" s="1626" t="s">
        <v>977</v>
      </c>
      <c r="C105" s="1623">
        <f>'R&amp;C-Painel de Controle'!D48</f>
        <v>158291.85441674214</v>
      </c>
      <c r="D105" s="1624" t="s">
        <v>249</v>
      </c>
      <c r="E105" s="1625"/>
      <c r="F105" s="1625"/>
      <c r="G105" s="1625"/>
      <c r="H105" s="1625"/>
    </row>
    <row r="106" spans="2:8" ht="15" hidden="1" customHeight="1" outlineLevel="1" x14ac:dyDescent="0.25">
      <c r="B106" s="1626" t="s">
        <v>992</v>
      </c>
      <c r="C106" s="1623">
        <f>C105/312</f>
        <v>507.34568723314788</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21866.918404048836</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1031</v>
      </c>
      <c r="C110" s="1839">
        <f>C103*1000/C102/365</f>
        <v>0.97182438161599816</v>
      </c>
      <c r="D110" s="1499" t="s">
        <v>1032</v>
      </c>
    </row>
    <row r="111" spans="2:8" ht="15" hidden="1" customHeight="1" outlineLevel="1" thickTop="1" x14ac:dyDescent="0.25">
      <c r="B111" s="1576" t="s">
        <v>978</v>
      </c>
      <c r="C111" s="1588"/>
      <c r="D111" s="1577"/>
      <c r="E111" s="1577"/>
      <c r="F111" s="1577"/>
      <c r="G111" s="1577"/>
      <c r="H111" s="1577"/>
    </row>
    <row r="112" spans="2:8" s="1499" customFormat="1" ht="15" hidden="1" customHeight="1" outlineLevel="1" x14ac:dyDescent="0.25">
      <c r="B112" s="1632"/>
      <c r="C112" s="1636">
        <f>'R-Resumo Bal. Massa'!G51</f>
        <v>360.40250161214175</v>
      </c>
      <c r="D112" s="1633" t="s">
        <v>971</v>
      </c>
      <c r="E112" s="1634"/>
      <c r="F112" s="1634"/>
      <c r="G112" s="1634"/>
      <c r="H112" s="1634"/>
    </row>
    <row r="113" spans="2:8" ht="15" hidden="1" customHeight="1" outlineLevel="1" x14ac:dyDescent="0.25">
      <c r="B113" s="1548"/>
      <c r="C113" s="1563">
        <f>C112*312*$C$106/$C$104/1000</f>
        <v>121.9124620464731</v>
      </c>
      <c r="D113" s="1578" t="s">
        <v>969</v>
      </c>
      <c r="E113" s="749"/>
      <c r="F113" s="749"/>
      <c r="G113" s="749"/>
      <c r="H113" s="749"/>
    </row>
    <row r="114" spans="2:8" ht="15" hidden="1" customHeight="1" outlineLevel="1" x14ac:dyDescent="0.25">
      <c r="B114" s="1583" t="s">
        <v>979</v>
      </c>
      <c r="C114" s="1589"/>
      <c r="D114" s="1584"/>
      <c r="E114" s="1584"/>
      <c r="F114" s="1584"/>
      <c r="G114" s="1584"/>
      <c r="H114" s="1584"/>
    </row>
    <row r="115" spans="2:8" s="1499" customFormat="1" ht="15" hidden="1" customHeight="1" outlineLevel="1" x14ac:dyDescent="0.25">
      <c r="B115" s="1632"/>
      <c r="C115" s="1636">
        <f>'R-Resumo Bal. Massa'!G49</f>
        <v>92.750068108974375</v>
      </c>
      <c r="D115" s="1633" t="s">
        <v>971</v>
      </c>
      <c r="E115" s="1634"/>
      <c r="F115" s="1634"/>
      <c r="G115" s="1634"/>
      <c r="H115" s="1634"/>
    </row>
    <row r="116" spans="2:8" ht="15" hidden="1" customHeight="1" outlineLevel="1" x14ac:dyDescent="0.25">
      <c r="B116" s="1585"/>
      <c r="C116" s="1563">
        <f>C115*312*$C$106/$C$104/1000</f>
        <v>31.37433593707939</v>
      </c>
      <c r="D116" s="1586" t="s">
        <v>969</v>
      </c>
      <c r="E116" s="1587"/>
      <c r="F116" s="1587"/>
      <c r="G116" s="1587"/>
      <c r="H116" s="1587"/>
    </row>
    <row r="117" spans="2:8" ht="15" hidden="1" customHeight="1" outlineLevel="1" x14ac:dyDescent="0.25">
      <c r="B117" s="1579" t="s">
        <v>980</v>
      </c>
      <c r="C117" s="1543"/>
      <c r="D117" s="749"/>
      <c r="E117" s="749"/>
      <c r="F117" s="749"/>
      <c r="G117" s="749"/>
      <c r="H117" s="749"/>
    </row>
    <row r="118" spans="2:8" s="1499" customFormat="1" ht="15" hidden="1" customHeight="1" outlineLevel="1" x14ac:dyDescent="0.25">
      <c r="B118" s="1632"/>
      <c r="C118" s="1636">
        <f>'R-Resumo Bal. Massa'!G50</f>
        <v>14.796148227601888</v>
      </c>
      <c r="D118" s="1633" t="s">
        <v>971</v>
      </c>
      <c r="E118" s="1634"/>
      <c r="F118" s="1634"/>
      <c r="G118" s="1634"/>
      <c r="H118" s="1634"/>
    </row>
    <row r="119" spans="2:8" ht="15" hidden="1" customHeight="1" outlineLevel="1" thickBot="1" x14ac:dyDescent="0.3">
      <c r="B119" s="1580"/>
      <c r="C119" s="1662">
        <f>C118*312*$C$106/$C$104/1000</f>
        <v>5.005056433189683</v>
      </c>
      <c r="D119" s="1581" t="s">
        <v>969</v>
      </c>
      <c r="E119" s="1582"/>
      <c r="F119" s="1582"/>
      <c r="G119" s="1582"/>
      <c r="H119" s="1582"/>
    </row>
    <row r="120" spans="2:8" ht="15" hidden="1" customHeight="1" outlineLevel="1" thickTop="1" thickBot="1" x14ac:dyDescent="0.3"/>
    <row r="121" spans="2:8" ht="15" hidden="1" customHeight="1" outlineLevel="1" thickTop="1" x14ac:dyDescent="0.25">
      <c r="B121" s="2926" t="s">
        <v>981</v>
      </c>
      <c r="C121" s="1590"/>
      <c r="D121" s="1577"/>
      <c r="E121" s="1577"/>
      <c r="F121" s="1577"/>
      <c r="G121" s="1577"/>
      <c r="H121" s="1577"/>
    </row>
    <row r="122" spans="2:8" ht="15" hidden="1" customHeight="1" outlineLevel="1" x14ac:dyDescent="0.25">
      <c r="B122" s="2924"/>
      <c r="C122" s="1637">
        <f>'R-Resumo Bal. Massa'!D64</f>
        <v>14.796148227601888</v>
      </c>
      <c r="D122" s="1629" t="s">
        <v>971</v>
      </c>
      <c r="E122" s="1625"/>
      <c r="F122" s="1625"/>
      <c r="G122" s="1625"/>
      <c r="H122" s="1625"/>
    </row>
    <row r="123" spans="2:8" ht="15" hidden="1" customHeight="1" outlineLevel="1" x14ac:dyDescent="0.25">
      <c r="B123" s="2925"/>
      <c r="C123" s="1563">
        <f>C122*312*$C$106/$C$104/1000</f>
        <v>5.005056433189683</v>
      </c>
      <c r="D123" s="1578" t="s">
        <v>969</v>
      </c>
      <c r="E123" s="749"/>
      <c r="F123" s="749"/>
      <c r="G123" s="749"/>
      <c r="H123" s="749"/>
    </row>
    <row r="124" spans="2:8" ht="15" hidden="1" customHeight="1" outlineLevel="1" x14ac:dyDescent="0.25">
      <c r="B124" s="2923" t="s">
        <v>987</v>
      </c>
      <c r="C124" s="1589"/>
      <c r="D124" s="1584"/>
      <c r="E124" s="1584"/>
      <c r="F124" s="1584"/>
      <c r="G124" s="1584"/>
      <c r="H124" s="1584"/>
    </row>
    <row r="125" spans="2:8" ht="15" hidden="1" customHeight="1" outlineLevel="1" x14ac:dyDescent="0.25">
      <c r="B125" s="2924"/>
      <c r="C125" s="1637">
        <f>'R-Resumo Bal. Massa'!D73</f>
        <v>0</v>
      </c>
      <c r="D125" s="1629" t="s">
        <v>971</v>
      </c>
      <c r="E125" s="1625"/>
      <c r="F125" s="1625"/>
      <c r="G125" s="1625"/>
      <c r="H125" s="1625"/>
    </row>
    <row r="126" spans="2:8" ht="15" hidden="1" customHeight="1" outlineLevel="1" x14ac:dyDescent="0.25">
      <c r="B126" s="2925"/>
      <c r="C126" s="1563">
        <f>C125*312*$C$106/$C$104/1000</f>
        <v>0</v>
      </c>
      <c r="D126" s="1578" t="s">
        <v>969</v>
      </c>
      <c r="E126" s="749"/>
      <c r="F126" s="749"/>
      <c r="G126" s="749"/>
      <c r="H126" s="749"/>
    </row>
    <row r="127" spans="2:8" ht="15" hidden="1" customHeight="1" outlineLevel="1" x14ac:dyDescent="0.25">
      <c r="B127" s="2923" t="s">
        <v>970</v>
      </c>
      <c r="C127" s="1589"/>
      <c r="D127" s="1584"/>
      <c r="E127" s="1584"/>
      <c r="F127" s="1584"/>
      <c r="G127" s="1584"/>
      <c r="H127" s="1584"/>
    </row>
    <row r="128" spans="2:8" ht="15" hidden="1" customHeight="1" outlineLevel="1" x14ac:dyDescent="0.25">
      <c r="B128" s="2924"/>
      <c r="C128" s="1637">
        <f>'R-Resumo Bal. Massa'!D69</f>
        <v>0</v>
      </c>
      <c r="D128" s="1629" t="s">
        <v>971</v>
      </c>
      <c r="E128" s="1625"/>
      <c r="F128" s="1625"/>
      <c r="G128" s="1625"/>
      <c r="H128" s="1625"/>
    </row>
    <row r="129" spans="2:8" ht="15" hidden="1" customHeight="1" outlineLevel="1" x14ac:dyDescent="0.25">
      <c r="B129" s="2925"/>
      <c r="C129" s="1563">
        <f>C128*312*$C$106/$C$104/1000</f>
        <v>0</v>
      </c>
      <c r="D129" s="1586" t="s">
        <v>969</v>
      </c>
      <c r="E129" s="1587"/>
      <c r="F129" s="1587"/>
      <c r="G129" s="1587"/>
      <c r="H129" s="1587"/>
    </row>
    <row r="130" spans="2:8" ht="15" hidden="1" customHeight="1" outlineLevel="1" x14ac:dyDescent="0.25">
      <c r="B130" s="2923" t="s">
        <v>1028</v>
      </c>
      <c r="C130" s="1830">
        <f>IF('R-Definição'!E112&gt;0,'R-Definição'!O111/'R-Definição'!E112,0)</f>
        <v>610.68265913572566</v>
      </c>
      <c r="D130" s="1551" t="s">
        <v>1027</v>
      </c>
      <c r="E130" s="749"/>
      <c r="F130" s="749"/>
      <c r="G130" s="749"/>
      <c r="H130" s="749"/>
    </row>
    <row r="131" spans="2:8" ht="15" hidden="1" customHeight="1" outlineLevel="1" x14ac:dyDescent="0.25">
      <c r="B131" s="2924"/>
      <c r="C131" s="1831">
        <f>C130*C106</f>
        <v>309827.21338058094</v>
      </c>
      <c r="D131" s="1629" t="s">
        <v>973</v>
      </c>
      <c r="E131" s="1625"/>
      <c r="F131" s="1625"/>
      <c r="G131" s="1625"/>
      <c r="H131" s="1625"/>
    </row>
    <row r="132" spans="2:8" ht="15" hidden="1" customHeight="1" outlineLevel="1" x14ac:dyDescent="0.25">
      <c r="B132" s="2925"/>
      <c r="C132" s="1616">
        <f>C130*C105/1000</f>
        <v>96666.090574741247</v>
      </c>
      <c r="D132" s="1586" t="s">
        <v>257</v>
      </c>
      <c r="E132" s="1587"/>
      <c r="F132" s="1587"/>
      <c r="G132" s="1587"/>
      <c r="H132" s="1587"/>
    </row>
    <row r="133" spans="2:8" ht="15" hidden="1" customHeight="1" outlineLevel="1" x14ac:dyDescent="0.25">
      <c r="B133" s="2923" t="s">
        <v>1029</v>
      </c>
      <c r="C133" s="1543">
        <f>IF(AND('R-Definição'!O62&gt;0,'R-Definição'!J65&gt;0),('R-Definição'!O69/('R-Definição'!O62*'R-Definição'!J65/100)),0)</f>
        <v>0</v>
      </c>
      <c r="D133" s="1551" t="s">
        <v>1027</v>
      </c>
      <c r="E133" s="749"/>
      <c r="F133" s="749"/>
      <c r="G133" s="749"/>
      <c r="H133" s="749"/>
    </row>
    <row r="134" spans="2:8" ht="15" hidden="1" customHeight="1" outlineLevel="1" x14ac:dyDescent="0.25">
      <c r="B134" s="2924"/>
      <c r="C134" s="1665">
        <f>C133*C106*C107</f>
        <v>0</v>
      </c>
      <c r="D134" s="1629" t="s">
        <v>973</v>
      </c>
      <c r="E134" s="1625"/>
      <c r="F134" s="1625"/>
      <c r="G134" s="1625"/>
      <c r="H134" s="1625"/>
    </row>
    <row r="135" spans="2:8" ht="15" hidden="1" customHeight="1" outlineLevel="1" x14ac:dyDescent="0.25">
      <c r="B135" s="2925"/>
      <c r="C135" s="1616">
        <f>C133*C105*C107/1000</f>
        <v>0</v>
      </c>
      <c r="D135" s="1586" t="s">
        <v>257</v>
      </c>
      <c r="E135" s="1587"/>
      <c r="F135" s="1587"/>
      <c r="G135" s="1587"/>
      <c r="H135" s="1587"/>
    </row>
    <row r="136" spans="2:8" ht="15" hidden="1" customHeight="1" outlineLevel="1" x14ac:dyDescent="0.25">
      <c r="B136" s="2923" t="s">
        <v>236</v>
      </c>
      <c r="C136" s="1543">
        <f>IF(AND('R-Definição'!O62&gt;0,'R-Definição'!J64&gt;0),('R-Definição'!O70/('R-Definição'!O62*'R-Definição'!J64/100)),0)</f>
        <v>0</v>
      </c>
      <c r="D136" s="1666" t="s">
        <v>1001</v>
      </c>
      <c r="E136" s="749"/>
      <c r="F136" s="749"/>
      <c r="G136" s="749"/>
      <c r="H136" s="749"/>
    </row>
    <row r="137" spans="2:8" ht="15" hidden="1" customHeight="1" outlineLevel="1" x14ac:dyDescent="0.25">
      <c r="B137" s="2924"/>
      <c r="C137" s="1665">
        <f>C136*C106*C107</f>
        <v>0</v>
      </c>
      <c r="D137" s="1629" t="s">
        <v>974</v>
      </c>
      <c r="E137" s="1625"/>
      <c r="F137" s="1625"/>
      <c r="G137" s="1625"/>
      <c r="H137" s="1625"/>
    </row>
    <row r="138" spans="2:8" ht="15" hidden="1" customHeight="1" outlineLevel="1" x14ac:dyDescent="0.25">
      <c r="B138" s="2924"/>
      <c r="C138" s="1616">
        <f>C136*C105*C107</f>
        <v>0</v>
      </c>
      <c r="D138" s="1633" t="s">
        <v>983</v>
      </c>
      <c r="E138" s="1625"/>
      <c r="F138" s="1625"/>
      <c r="G138" s="1625"/>
      <c r="H138" s="1625"/>
    </row>
    <row r="139" spans="2:8" ht="15" hidden="1" customHeight="1" outlineLevel="1" thickBot="1" x14ac:dyDescent="0.3">
      <c r="B139" s="1635" t="s">
        <v>982</v>
      </c>
      <c r="C139" s="1617">
        <f>(C138*90%)/1000</f>
        <v>0</v>
      </c>
      <c r="D139" s="1581" t="s">
        <v>986</v>
      </c>
      <c r="E139" s="1582"/>
      <c r="F139" s="1582"/>
      <c r="G139" s="1582"/>
      <c r="H139" s="1582"/>
    </row>
    <row r="140" spans="2:8" ht="15" customHeight="1" thickTop="1" x14ac:dyDescent="0.25">
      <c r="B140" s="2644" t="s">
        <v>1035</v>
      </c>
      <c r="C140" s="2645">
        <f>'R&amp;C-Painel de Controle'!D34</f>
        <v>158</v>
      </c>
    </row>
    <row r="141" spans="2:8" x14ac:dyDescent="0.25">
      <c r="B141" s="2646" t="s">
        <v>1499</v>
      </c>
      <c r="C141" s="2647">
        <f>'CO2 - Todos Resultados'!C38</f>
        <v>161122.19511908133</v>
      </c>
    </row>
    <row r="142" spans="2:8" x14ac:dyDescent="0.25">
      <c r="B142" s="2646" t="s">
        <v>1500</v>
      </c>
      <c r="C142" s="2647">
        <f>'CO2 - Todos Resultados'!I38</f>
        <v>41916.464131641689</v>
      </c>
    </row>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941"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941"/>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939" t="str">
        <f>'R-Definição'!D2</f>
        <v>CIRSOP - Consórcio RSU Oeste Paulista</v>
      </c>
      <c r="R2" s="2940"/>
      <c r="S2" s="862"/>
      <c r="T2" s="864" t="s">
        <v>437</v>
      </c>
      <c r="U2" s="2939" t="str">
        <f>'R-Definição'!D3</f>
        <v>Biodigestão c/ Prod. E. Elétrica</v>
      </c>
      <c r="V2" s="2940"/>
      <c r="W2" s="319"/>
      <c r="X2" s="319"/>
      <c r="Y2" s="319"/>
      <c r="Z2" s="319"/>
      <c r="AA2" s="319"/>
      <c r="AB2" s="319"/>
    </row>
    <row r="3" spans="1:28" s="318" customFormat="1" ht="19.899999999999999" customHeight="1" x14ac:dyDescent="0.25">
      <c r="A3" s="427"/>
      <c r="B3" s="2941"/>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933" t="s">
        <v>640</v>
      </c>
      <c r="C9" s="901"/>
      <c r="D9" s="2936" t="s">
        <v>645</v>
      </c>
      <c r="E9" s="2937"/>
      <c r="F9" s="2937"/>
      <c r="G9" s="2937"/>
      <c r="H9" s="2937"/>
      <c r="I9" s="2937"/>
      <c r="J9" s="2937"/>
      <c r="K9" s="2937"/>
      <c r="L9" s="2937"/>
      <c r="M9" s="2937"/>
      <c r="N9" s="2937"/>
      <c r="O9" s="2937"/>
      <c r="P9" s="2937"/>
      <c r="Q9" s="2937"/>
      <c r="R9" s="2937"/>
      <c r="S9" s="2937"/>
      <c r="T9" s="2937"/>
      <c r="U9" s="2937"/>
      <c r="V9" s="2938"/>
      <c r="W9" s="857"/>
      <c r="X9" s="857"/>
      <c r="Y9" s="857"/>
      <c r="Z9" s="857"/>
      <c r="AA9" s="857"/>
      <c r="AB9" s="857"/>
    </row>
    <row r="10" spans="1:28" s="318" customFormat="1" ht="7.5" customHeight="1" x14ac:dyDescent="0.25">
      <c r="A10" s="427"/>
      <c r="B10" s="2934"/>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935"/>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948"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948"/>
      <c r="C2" s="436"/>
      <c r="D2" s="899">
        <f>('R-Resumo Bal. Massa'!B20+'R-Resumo Bal. Massa'!B21)*(1+'R&amp;C-Painel de Controle'!H56)</f>
        <v>58.493589743589752</v>
      </c>
      <c r="E2" s="900" t="s">
        <v>21</v>
      </c>
      <c r="H2" s="1105">
        <f>D2*313</f>
        <v>18308.493589743593</v>
      </c>
      <c r="I2" s="1104" t="s">
        <v>249</v>
      </c>
      <c r="L2" s="1086" t="str">
        <f>IF(D2&gt;0,"Sim","Não")</f>
        <v>Sim</v>
      </c>
      <c r="M2" s="431"/>
      <c r="N2" s="431"/>
      <c r="O2" s="431"/>
      <c r="P2" s="1106" t="s">
        <v>436</v>
      </c>
      <c r="Q2" s="2939" t="str">
        <f>'R-Definição'!D2</f>
        <v>CIRSOP - Consórcio RSU Oeste Paulista</v>
      </c>
      <c r="R2" s="2940"/>
      <c r="S2" s="429"/>
      <c r="T2" s="1106" t="s">
        <v>437</v>
      </c>
      <c r="U2" s="2939" t="str">
        <f>'R-Definição'!D3</f>
        <v>Biodigestão c/ Prod. E. Elétrica</v>
      </c>
      <c r="V2" s="2940"/>
      <c r="W2" s="47"/>
      <c r="X2" s="47"/>
      <c r="Y2" s="47"/>
      <c r="Z2" s="47"/>
      <c r="AA2" s="47"/>
      <c r="AB2" s="47"/>
    </row>
    <row r="3" spans="1:28" ht="19.899999999999999" customHeight="1" x14ac:dyDescent="0.25">
      <c r="A3" s="406"/>
      <c r="B3" s="2948"/>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SIM</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942" t="s">
        <v>640</v>
      </c>
      <c r="C9" s="901"/>
      <c r="D9" s="2945" t="s">
        <v>644</v>
      </c>
      <c r="E9" s="2946"/>
      <c r="F9" s="2946"/>
      <c r="G9" s="2946"/>
      <c r="H9" s="2946"/>
      <c r="I9" s="2946"/>
      <c r="J9" s="2946"/>
      <c r="K9" s="2946"/>
      <c r="L9" s="2946"/>
      <c r="M9" s="2946"/>
      <c r="N9" s="2946"/>
      <c r="O9" s="2946"/>
      <c r="P9" s="2946"/>
      <c r="Q9" s="2946"/>
      <c r="R9" s="2946"/>
      <c r="S9" s="2946"/>
      <c r="T9" s="2946"/>
      <c r="U9" s="2946"/>
      <c r="V9" s="2947"/>
      <c r="W9" s="1069"/>
      <c r="X9" s="885"/>
      <c r="Y9" s="885"/>
      <c r="Z9" s="885"/>
      <c r="AA9" s="885"/>
      <c r="AB9" s="885"/>
    </row>
    <row r="10" spans="1:28" s="882" customFormat="1" ht="7.5" customHeight="1" x14ac:dyDescent="0.3">
      <c r="A10" s="991"/>
      <c r="B10" s="2943"/>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944"/>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23.616600823397434</v>
      </c>
      <c r="F15" s="917">
        <v>0.1</v>
      </c>
      <c r="G15" s="869"/>
      <c r="H15" s="1075">
        <f>IF('R-Definição'!$I$34="Alta",(14961570+179440+150030)/313000,(14961570+179440+150030)/313000*0.85)</f>
        <v>41.525188498402549</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f>(IF(E$7="SIM",(((D17-F17)*'R&amp;C-Painel de Controle'!$D$57+F17*('R&amp;C-Painel de Controle'!$D$60)+(((75)+(15+E30/5*30)+(25+E30/10*25))*D16)))/1000000,"-"))</f>
        <v>11.494862787525831</v>
      </c>
      <c r="F16" s="919">
        <v>0.05</v>
      </c>
      <c r="G16" s="869"/>
      <c r="H16" s="918">
        <v>2000</v>
      </c>
      <c r="I16" s="846" t="str">
        <f>(IF(I$7="SIM",(((H17-J17)*'R&amp;C-Painel de Controle'!$D$57+J17*('R&amp;C-Painel de Controle'!$D$60)+(((150)+(15+I30/5*30)+(25+I30/10*25))*H16)))/1000000,"-"))</f>
        <v>-</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f>(IF(E$7="SIM",('R&amp;C-Painel de Controle'!$D$55+0.25)*D17/1000000,"-"))</f>
        <v>3.0336813937629154E-3</v>
      </c>
      <c r="F17" s="921">
        <f>IF('R-Definição'!$I$34="Alta",(50*15+50*100+50*10),(50*15+50*100+50*10)*0.75)</f>
        <v>4687.5</v>
      </c>
      <c r="G17" s="869"/>
      <c r="H17" s="920">
        <f>(2*(20*(20+(SQRT(J17))+20))+2*(20*(J17/(SQRT(J17))))+J17+((150)+(15+I30/5*30)+(25+I30/10*25)))</f>
        <v>14241.773353931867</v>
      </c>
      <c r="I17" s="846" t="str">
        <f>(IF(I$7="SIM",('R&amp;C-Painel de Controle'!$D$55+0.25)*H17/1000000,"-"))</f>
        <v>-</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f>IF(E7="SIM",(E15+E16)*F18*1000/$H$2,"-")</f>
        <v>0.1438326838803631</v>
      </c>
      <c r="E18" s="846">
        <f>(IF(E$7="SIM",$H$2*D18/1000,"-"))</f>
        <v>2.6333597708192444</v>
      </c>
      <c r="F18" s="917">
        <v>7.4999999999999997E-2</v>
      </c>
      <c r="G18" s="869"/>
      <c r="H18" s="1076" t="str">
        <f>IF(I7="SIM",(I15+I16)*J18*1000/$H$2,"-")</f>
        <v>-</v>
      </c>
      <c r="I18" s="846" t="str">
        <f>(IF(I$7="SIM",$H$2*H18/1000,"-"))</f>
        <v>-</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f>IF(E7="SIM",SUM(E15:E18)*(1+D19),"-")</f>
        <v>39.635249916293091</v>
      </c>
      <c r="F19" s="1051" t="s">
        <v>289</v>
      </c>
      <c r="G19" s="904"/>
      <c r="H19" s="1052">
        <v>0.05</v>
      </c>
      <c r="I19" s="922" t="str">
        <f>IF(I7="SIM",SUM(I15:I18)*(1+H19),"-")</f>
        <v>-</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f>IF(E7="SIM",E19*1000000/$H$2,"-")</f>
        <v>2164.8558753351904</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f>IF(E7="SIM",(E15*F15+E16*F16)/4,"-")</f>
        <v>0.7341008054290088</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collapsed="1" x14ac:dyDescent="0.25">
      <c r="A27" s="989"/>
      <c r="B27" s="913" t="s">
        <v>381</v>
      </c>
      <c r="C27" s="869"/>
      <c r="D27" s="1017"/>
      <c r="E27" s="890">
        <f>(IF(E$7="SIM",(E31)*2.4*12/$H$2,"-"))</f>
        <v>217.07957459845065</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hidden="1"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hidden="1"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hidden="1"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hidden="1"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f>(IF(E$7="SIM",(E33*$H$2/1000*'R&amp;C-Painel de Controle'!$D$68+E34/1000*'R&amp;C-Painel de Controle'!$D$69*12)/$H$2,"-"))</f>
        <v>0</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f>(IF(E$7="SIM",(E15*1000000*E36+E37*12)/$H$2,"-"))</f>
        <v>123.59001716670312</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f>(IF(E$7="SIM",D38*E39*E40*12/$H$2,"-"))</f>
        <v>32.771674909186387</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f>(IF(E$7="SIM",7.5+1.5*'R&amp;C-Painel de Controle'!$D$74,"-"))</f>
        <v>12</v>
      </c>
      <c r="F41" s="1021"/>
      <c r="G41" s="1000"/>
      <c r="H41" s="1080"/>
      <c r="I41" s="893" t="str">
        <f>(IF(I$7="SIM",7.5+1.5*'R&amp;C-Painel de Controle'!$D$74,"-"))</f>
        <v>-</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f>(IF(E$7="SIM",(E27+E32+E35+E38+E41)*(1+D42),"-"))</f>
        <v>423.98539334177423</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f>(IF(E$7="SIM",E42*$H$2/1000000,"-"))</f>
        <v>7.762533856142789</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f>(IF(E$7="SIM",(((E27*$H$2/12)+(E34/1000*'R&amp;C-Painel de Controle'!$D$69*12)+(E37*12)+(E39*E40*12))/1000000),"-"))</f>
        <v>2.7311999999999999</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f>(IF(E$7="SIM",((E43-E44)*1000000)/$H$2,"-"))</f>
        <v>274.80872915515778</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emf7rVnXOXte3ZLq1BTjdEg2mpjBZ6b/KeQQv0H7xX8I3am3MnoM+nOOcHh8DCb7PmjyK6zrX8QksmOhjleiGA==" saltValue="7R5u3chIwfGmJKfDM+Nh/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48"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948"/>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939" t="str">
        <f>'R-Definição'!D2</f>
        <v>CIRSOP - Consórcio RSU Oeste Paulista</v>
      </c>
      <c r="R2" s="2940"/>
      <c r="S2" s="429"/>
      <c r="T2" s="1106" t="s">
        <v>437</v>
      </c>
      <c r="U2" s="2939" t="str">
        <f>'R-Definição'!D3</f>
        <v>Biodigestão c/ Prod. E. Elétrica</v>
      </c>
      <c r="V2" s="2940"/>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48"/>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942" t="s">
        <v>640</v>
      </c>
      <c r="C9" s="901"/>
      <c r="D9" s="2945" t="s">
        <v>646</v>
      </c>
      <c r="E9" s="2946"/>
      <c r="F9" s="2946"/>
      <c r="G9" s="2946"/>
      <c r="H9" s="2946"/>
      <c r="I9" s="2946"/>
      <c r="J9" s="2946"/>
      <c r="K9" s="2946"/>
      <c r="L9" s="2946"/>
      <c r="M9" s="2946"/>
      <c r="N9" s="2946"/>
      <c r="O9" s="2946"/>
      <c r="P9" s="2946"/>
      <c r="Q9" s="2946"/>
      <c r="R9" s="2946"/>
      <c r="S9" s="2946"/>
      <c r="T9" s="2946"/>
      <c r="U9" s="2946"/>
      <c r="V9" s="2947"/>
    </row>
    <row r="10" spans="1:61" ht="7.5" customHeight="1" x14ac:dyDescent="0.25">
      <c r="B10" s="2943"/>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944"/>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800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1345.5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qQ/JbAmdG8oOjIlXVPip+zu5jMTPjTM2W5/CkrIgiFyEq9fDn+qsYmYF1zZaZUhxhF1sdSbO0WcahOMdozBufQ==" saltValue="Q6qd0/vuZsS1PnYhtoRAC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948"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948"/>
      <c r="C2" s="436"/>
      <c r="D2" s="899">
        <f>'R-Resumo Bal. Massa'!B31*(1+'R&amp;C-Painel de Controle'!H62)</f>
        <v>0</v>
      </c>
      <c r="E2" s="900" t="s">
        <v>21</v>
      </c>
      <c r="H2" s="1105">
        <f>D2*313</f>
        <v>0</v>
      </c>
      <c r="I2" s="1104" t="s">
        <v>249</v>
      </c>
      <c r="L2" s="1086" t="str">
        <f>IF(D2&gt;0,"Sim","Não")</f>
        <v>Não</v>
      </c>
      <c r="M2" s="431"/>
      <c r="N2" s="431"/>
      <c r="O2" s="431"/>
      <c r="P2" s="1106" t="s">
        <v>436</v>
      </c>
      <c r="Q2" s="2939" t="str">
        <f>'R-Definição'!D2</f>
        <v>CIRSOP - Consórcio RSU Oeste Paulista</v>
      </c>
      <c r="R2" s="2940"/>
      <c r="S2" s="429"/>
      <c r="T2" s="1106" t="s">
        <v>437</v>
      </c>
      <c r="U2" s="2939" t="str">
        <f>'R-Definição'!D3</f>
        <v>Biodigestão c/ Prod. E. Elétrica</v>
      </c>
      <c r="V2" s="2940"/>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948"/>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942" t="s">
        <v>640</v>
      </c>
      <c r="C9" s="901"/>
      <c r="D9" s="2945" t="s">
        <v>647</v>
      </c>
      <c r="E9" s="2946"/>
      <c r="F9" s="2946"/>
      <c r="G9" s="2946"/>
      <c r="H9" s="2946"/>
      <c r="I9" s="2946"/>
      <c r="J9" s="2946"/>
      <c r="K9" s="2946"/>
      <c r="L9" s="2946"/>
      <c r="M9" s="2946"/>
      <c r="N9" s="2946"/>
      <c r="O9" s="2946"/>
      <c r="P9" s="2946"/>
      <c r="Q9" s="2946"/>
      <c r="R9" s="2946"/>
      <c r="S9" s="2946"/>
      <c r="T9" s="2946"/>
      <c r="U9" s="2946"/>
      <c r="V9" s="2947"/>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943"/>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944"/>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6BkLGYwRL+NOdt4B9biYHrA+UGX5QixWFFvHAlJgHOThWhazsxmbnSTO8Rfg+CeXLb8d2Tcg/xvk4nQ0Xx3ew==" saltValue="jb9BJ+Xd/Z6GKRDX3sWES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948"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948"/>
      <c r="C2" s="436"/>
      <c r="D2" s="899">
        <f>'R-Resumo Bal. Massa'!B35*(1+'R&amp;C-Painel de Controle'!H68)</f>
        <v>0</v>
      </c>
      <c r="E2" s="900" t="s">
        <v>391</v>
      </c>
      <c r="H2" s="1105">
        <f>D2*313</f>
        <v>0</v>
      </c>
      <c r="I2" s="1104" t="s">
        <v>392</v>
      </c>
      <c r="L2" s="1086" t="str">
        <f>IF(D2&gt;0,"Sim","Não")</f>
        <v>Não</v>
      </c>
      <c r="M2" s="431"/>
      <c r="N2" s="431"/>
      <c r="O2" s="431"/>
      <c r="P2" s="1106" t="s">
        <v>436</v>
      </c>
      <c r="Q2" s="2939" t="str">
        <f>'R-Definição'!D2</f>
        <v>CIRSOP - Consórcio RSU Oeste Paulista</v>
      </c>
      <c r="R2" s="2940"/>
      <c r="S2" s="429"/>
      <c r="T2" s="1106" t="s">
        <v>437</v>
      </c>
      <c r="U2" s="2939" t="str">
        <f>'R-Definição'!D3</f>
        <v>Biodigestão c/ Prod. E. Elétrica</v>
      </c>
      <c r="V2" s="2940"/>
      <c r="W2" s="307"/>
      <c r="X2" s="307"/>
      <c r="Y2" s="307"/>
      <c r="Z2" s="307"/>
      <c r="AA2" s="307"/>
      <c r="AB2" s="68"/>
    </row>
    <row r="3" spans="1:61" ht="19.899999999999999" customHeight="1" x14ac:dyDescent="0.25">
      <c r="A3" s="762"/>
      <c r="B3" s="2948"/>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942" t="s">
        <v>640</v>
      </c>
      <c r="C9" s="901"/>
      <c r="D9" s="2945" t="s">
        <v>648</v>
      </c>
      <c r="E9" s="2946"/>
      <c r="F9" s="2946"/>
      <c r="G9" s="2946"/>
      <c r="H9" s="2946"/>
      <c r="I9" s="2946"/>
      <c r="J9" s="2946"/>
      <c r="K9" s="2946"/>
      <c r="L9" s="2946"/>
      <c r="M9" s="2946"/>
      <c r="N9" s="2946"/>
      <c r="O9" s="2946"/>
      <c r="P9" s="2946"/>
      <c r="Q9" s="2946"/>
      <c r="R9" s="2946"/>
      <c r="S9" s="2946"/>
      <c r="T9" s="2946"/>
      <c r="U9" s="2946"/>
      <c r="V9" s="2947"/>
      <c r="W9" s="885"/>
      <c r="X9" s="885"/>
      <c r="Y9" s="885"/>
      <c r="Z9" s="885"/>
      <c r="AA9" s="885"/>
    </row>
    <row r="10" spans="1:61" ht="7.5" customHeight="1" x14ac:dyDescent="0.25">
      <c r="A10" s="762"/>
      <c r="B10" s="2943"/>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944"/>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948"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948"/>
      <c r="C2" s="436"/>
      <c r="D2" s="899">
        <f>'R-Resumo Bal. Massa'!B34*(1+'R&amp;C-Painel de Controle'!H65)</f>
        <v>0</v>
      </c>
      <c r="E2" s="900" t="s">
        <v>21</v>
      </c>
      <c r="H2" s="1105">
        <f>D2*313</f>
        <v>0</v>
      </c>
      <c r="I2" s="1104" t="s">
        <v>249</v>
      </c>
      <c r="L2" s="1086" t="str">
        <f>IF(D2&gt;0,"Sim","Não'")</f>
        <v>Não'</v>
      </c>
      <c r="M2" s="431"/>
      <c r="N2" s="431"/>
      <c r="O2" s="431"/>
      <c r="P2" s="1106" t="s">
        <v>436</v>
      </c>
      <c r="Q2" s="2939" t="str">
        <f>'R-Definição'!D2</f>
        <v>CIRSOP - Consórcio RSU Oeste Paulista</v>
      </c>
      <c r="R2" s="2940"/>
      <c r="S2" s="429"/>
      <c r="T2" s="1106" t="s">
        <v>437</v>
      </c>
      <c r="U2" s="2939" t="str">
        <f>'R-Definição'!D3</f>
        <v>Biodigestão c/ Prod. E. Elétrica</v>
      </c>
      <c r="V2" s="2940"/>
      <c r="W2" s="307"/>
      <c r="X2" s="307"/>
      <c r="Y2" s="307"/>
      <c r="Z2" s="307"/>
      <c r="AA2" s="307"/>
      <c r="AB2" s="307"/>
    </row>
    <row r="3" spans="1:28" ht="19.899999999999999" customHeight="1" x14ac:dyDescent="0.25">
      <c r="A3" s="406"/>
      <c r="B3" s="2948"/>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942" t="s">
        <v>640</v>
      </c>
      <c r="C9" s="901"/>
      <c r="D9" s="2945" t="s">
        <v>651</v>
      </c>
      <c r="E9" s="2946"/>
      <c r="F9" s="2946"/>
      <c r="G9" s="2946"/>
      <c r="H9" s="2946"/>
      <c r="I9" s="2946"/>
      <c r="J9" s="2946"/>
      <c r="K9" s="2946"/>
      <c r="L9" s="2946"/>
      <c r="M9" s="2946"/>
      <c r="N9" s="2946"/>
      <c r="O9" s="2946"/>
      <c r="P9" s="2946"/>
      <c r="Q9" s="2946"/>
      <c r="R9" s="2946"/>
      <c r="S9" s="2946"/>
      <c r="T9" s="2946"/>
      <c r="U9" s="2946"/>
      <c r="V9" s="2947"/>
      <c r="W9" s="1099"/>
      <c r="X9" s="1099"/>
      <c r="Y9" s="1099"/>
      <c r="Z9" s="1099"/>
      <c r="AA9" s="1112"/>
      <c r="AB9" s="885"/>
    </row>
    <row r="10" spans="1:28" ht="7.5" customHeight="1" x14ac:dyDescent="0.25">
      <c r="A10" s="406"/>
      <c r="B10" s="2943"/>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944"/>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798xQzO0YF1xDmbRosUPEpJashD4kvZyB92ZpBxNd/GvQnBX7/W0uigRGBBvCxTIFQi2AzVF0CYA+RSU0Bta2w==" saltValue="fzJ2nO97ztLiy7dvsLa+w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948"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948"/>
      <c r="C2" s="436"/>
      <c r="D2" s="899">
        <f>'R-Resumo Bal. Massa'!B39*(1+'R&amp;C-Painel de Controle'!H71)</f>
        <v>463.75034054487185</v>
      </c>
      <c r="E2" s="900" t="s">
        <v>21</v>
      </c>
      <c r="F2"/>
      <c r="G2"/>
      <c r="H2" s="1105">
        <f>D2*313</f>
        <v>145153.85659054489</v>
      </c>
      <c r="I2" s="1104" t="s">
        <v>249</v>
      </c>
      <c r="J2"/>
      <c r="K2"/>
      <c r="L2" s="1086" t="str">
        <f>IF(D2&gt;0,"Sim","Não")</f>
        <v>Sim</v>
      </c>
      <c r="M2" s="431"/>
      <c r="N2" s="431"/>
      <c r="O2" s="431"/>
      <c r="P2" s="1106" t="s">
        <v>436</v>
      </c>
      <c r="Q2" s="2939" t="str">
        <f>'R-Definição'!D2</f>
        <v>CIRSOP - Consórcio RSU Oeste Paulista</v>
      </c>
      <c r="R2" s="2940"/>
      <c r="S2" s="429"/>
      <c r="T2" s="1106" t="s">
        <v>437</v>
      </c>
      <c r="U2" s="2939" t="str">
        <f>'R-Definição'!D3</f>
        <v>Biodigestão c/ Prod. E. Elétrica</v>
      </c>
      <c r="V2" s="2940"/>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948"/>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f>(2.6*('R-Definição'!O111/'R-Definição'!E112))/(0.97*'R-Definição'!E114)</f>
        <v>0.60791752577319591</v>
      </c>
      <c r="E7" s="1054" t="str">
        <f>IF(AND(L2="Sim",$D$2&gt;D11,$D$2&lt;=F11),"SIM","NÃO")</f>
        <v>SIM</v>
      </c>
      <c r="F7" s="1483">
        <f>'R&amp;C-Painel de Controle'!D58+10%</f>
        <v>0.75</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942" t="s">
        <v>640</v>
      </c>
      <c r="C9" s="901"/>
      <c r="D9" s="2945" t="s">
        <v>399</v>
      </c>
      <c r="E9" s="2946"/>
      <c r="F9" s="2946"/>
      <c r="G9" s="2946"/>
      <c r="H9" s="2946"/>
      <c r="I9" s="2946"/>
      <c r="J9" s="2946"/>
      <c r="K9" s="2946"/>
      <c r="L9" s="2946"/>
      <c r="M9" s="2946"/>
      <c r="N9" s="2946"/>
      <c r="O9" s="2946"/>
      <c r="P9" s="2946"/>
      <c r="Q9" s="2946"/>
      <c r="R9" s="2946"/>
      <c r="S9" s="2946"/>
      <c r="T9" s="2946"/>
      <c r="U9" s="2946"/>
      <c r="V9" s="2947"/>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943"/>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944"/>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429.18850394889523</v>
      </c>
      <c r="E15" s="84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373.26279154731043</v>
      </c>
      <c r="F15" s="917">
        <v>0.15</v>
      </c>
      <c r="G15" s="869"/>
      <c r="H15" s="1075">
        <f>(IF('R&amp;C-Painel de Controle'!$C$58="Tecnologia Chinesa",525.884311407721*H$22, 525.884311407721))*F7</f>
        <v>394.41323355579078</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357.08677408808398</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332.2003608672315</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319.52794905003827</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137.95344769785919</v>
      </c>
      <c r="E16" s="84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87.090156194292433</v>
      </c>
      <c r="F16" s="919">
        <v>0.05</v>
      </c>
      <c r="G16" s="869"/>
      <c r="H16" s="918">
        <f>(IF('R&amp;C-Painel de Controle'!$C$58="Tecnologia Chinesa",194.505156274089*H$22*(1-I24), 194.505156274089*(1-I24)))*F7</f>
        <v>109.40915040417505</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84.573183336651553</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72.333949543671366</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59.911490446882304</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f>(IF(E$7="SIM",('R&amp;C-Painel de Controle'!$D$55+0.25)*D17/1000000,"-"))</f>
        <v>2.4E-2</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f>IF(E7="SIM",(E15+E16)*F18*1000/$H$2,"-")</f>
        <v>7.9287067969572231E-2</v>
      </c>
      <c r="E18" s="846">
        <f>(IF(E$7="SIM",$H$2*D18/1000,""))</f>
        <v>11.508823693540073</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f>IF(E7="SIM",SUM(E15:E18)*(1+D19),"-")</f>
        <v>495.48006000690009</v>
      </c>
      <c r="F19" s="1103">
        <f>IF(E7="SIM",(E16)/E19,"-")</f>
        <v>0.17576924527110055</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f>IF(E7="SIM",E19*1000000/$H$2,"-")</f>
        <v>3413.481884980622</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f>IF(E7="SIM",$D$2*313/(8000*E23),"-")</f>
        <v>0.90721160369090559</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f>IF(E7="SIM",'R&amp;C-Painel de Controle'!$D$58*(E15*F15+E16*F16)/4+(1-'R&amp;C-Painel de Controle'!$D$58)*(E15*F15*1.25+E16*F16)/4,"-")</f>
        <v>16.310750170217407</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f>(IF(E$7="SIM",(E33)*2.4*12/$H$2,"-"))</f>
        <v>47.346829844684173</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18">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f>IF(E$7="SIM",'R&amp;C-Painel de Controle'!$D$63+(E31*3/10+E32)*'R&amp;C-Painel de Controle'!$D$64+E31*E22*3*'R&amp;C-Painel de Controle'!$D$65,"-")</f>
        <v>238631.07462820201</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f>(IF(E$7="SIM",(E35*$H$2/1000*'R&amp;C-Painel de Controle'!$D$68+E36/1000*'R&amp;C-Painel de Controle'!$D$69*12)/$H$2,"-"))</f>
        <v>0</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0.05</v>
      </c>
      <c r="E35" s="304">
        <f>(1-'R&amp;C-Painel de Controle'!$D$58)*F35*'R-Definição'!$E$114+('R&amp;C-Painel de Controle'!$D$58)*D35*'R-Definição'!$E$114</f>
        <v>146.41035974649506</v>
      </c>
      <c r="F35" s="697">
        <f>D35*(1+F34)</f>
        <v>6.25E-2</v>
      </c>
      <c r="G35" s="758"/>
      <c r="H35" s="1482">
        <f>D35*95%</f>
        <v>4.7500000000000001E-2</v>
      </c>
      <c r="I35" s="304">
        <f>(1-'R&amp;C-Painel de Controle'!$D$58)*J35*'R-Definição'!$E$114+('R&amp;C-Painel de Controle'!$D$58)*H35*'R-Definição'!$E$114</f>
        <v>139.0898417591703</v>
      </c>
      <c r="J35" s="697">
        <f>H35*(1+J34)</f>
        <v>5.9374999999999997E-2</v>
      </c>
      <c r="K35" s="758"/>
      <c r="L35" s="1482">
        <f>H35*95%</f>
        <v>4.5124999999999998E-2</v>
      </c>
      <c r="M35" s="304">
        <f>(1-'R&amp;C-Painel de Controle'!$D$58)*N35*'R-Definição'!$E$114+('R&amp;C-Painel de Controle'!$D$58)*L35*'R-Definição'!$E$114</f>
        <v>132.13534967121177</v>
      </c>
      <c r="N35" s="697">
        <f>L35*(1+N34)</f>
        <v>5.6406249999999998E-2</v>
      </c>
      <c r="O35" s="758"/>
      <c r="P35" s="1482">
        <f>L35*95%</f>
        <v>4.2868749999999997E-2</v>
      </c>
      <c r="Q35" s="304">
        <f>(1-'R&amp;C-Painel de Controle'!$D$58)*R35*'R-Definição'!$E$114+('R&amp;C-Painel de Controle'!$D$58)*P35*'R-Definição'!$E$114</f>
        <v>125.5285821876512</v>
      </c>
      <c r="R35" s="697">
        <f>P35*(1+R34)</f>
        <v>5.35859375E-2</v>
      </c>
      <c r="S35" s="758"/>
      <c r="T35" s="1482">
        <f>P35*95%</f>
        <v>4.0725312499999992E-2</v>
      </c>
      <c r="U35" s="304">
        <f>(1-'R&amp;C-Painel de Controle'!$D$58)*V35*'R-Definição'!$E$114+('R&amp;C-Painel de Controle'!$D$58)*T35*'R-Definição'!$E$114</f>
        <v>119.25215307826862</v>
      </c>
      <c r="V35" s="697">
        <f>T35*(1+V34)</f>
        <v>5.0906640624999992E-2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5051.1574112540793</v>
      </c>
      <c r="F36" s="455"/>
      <c r="G36" s="757"/>
      <c r="H36" s="455"/>
      <c r="I36" s="304">
        <f>I35*J11*(0.9)*0.92/24</f>
        <v>9597.1990813827506</v>
      </c>
      <c r="J36" s="455"/>
      <c r="K36" s="757"/>
      <c r="L36" s="455"/>
      <c r="M36" s="304">
        <f>M35*N11*(0.9)*0.92/24</f>
        <v>13676.008690970419</v>
      </c>
      <c r="N36" s="455"/>
      <c r="O36" s="757"/>
      <c r="P36" s="455"/>
      <c r="Q36" s="304">
        <f>Q35*R11*(0.9)*0.92/24</f>
        <v>17322.944341895865</v>
      </c>
      <c r="R36" s="455"/>
      <c r="S36" s="757"/>
      <c r="T36" s="455"/>
      <c r="U36" s="304">
        <f>U35*V11*(0.9)*0.92/24</f>
        <v>20570.996406001341</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f>(IF(E$7="SIM",(E15*1000000*E38+E39*12)/$H$2,"-"))</f>
        <v>136.85262813284061</v>
      </c>
      <c r="F37" s="1153">
        <v>0.35</v>
      </c>
      <c r="G37" s="1139"/>
      <c r="H37" s="1172"/>
      <c r="I37" s="303" t="str">
        <f>(IF(I$7="SIM",(I15*1000000*I38+I39*12)/$H$2,"-"))</f>
        <v>-</v>
      </c>
      <c r="J37" s="1153">
        <v>0.35</v>
      </c>
      <c r="K37" s="1139"/>
      <c r="L37" s="1172"/>
      <c r="M37" s="303" t="str">
        <f>(IF(M$7="SIM",(M15*1000000*M38+M39*12)/$H$2,"-"))</f>
        <v>-</v>
      </c>
      <c r="N37" s="1153">
        <v>0.35</v>
      </c>
      <c r="O37" s="1139"/>
      <c r="P37" s="1172"/>
      <c r="Q37" s="303" t="str">
        <f>(IF(Q$7="SIM",(Q15*1000000*Q38+Q39*12)/$H$2,"-"))</f>
        <v>-</v>
      </c>
      <c r="R37" s="1153">
        <v>0.35</v>
      </c>
      <c r="S37" s="1139"/>
      <c r="T37" s="1172"/>
      <c r="U37" s="303" t="str">
        <f>(IF(U$7="SIM",(U15*1000000*U38+U39*12)/$H$2,"-"))</f>
        <v>-</v>
      </c>
      <c r="V37" s="1153">
        <v>0.35</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4.4999999999999998E-2</v>
      </c>
      <c r="E38" s="347">
        <f>(1-'R&amp;C-Painel de Controle'!$D$58)*F38+('R&amp;C-Painel de Controle'!$D$58)*D38</f>
        <v>5.0512499999999995E-2</v>
      </c>
      <c r="F38" s="1155">
        <f>D38*(1+F37)</f>
        <v>6.0749999999999998E-2</v>
      </c>
      <c r="G38" s="1140"/>
      <c r="H38" s="1154">
        <f>D38</f>
        <v>4.4999999999999998E-2</v>
      </c>
      <c r="I38" s="347">
        <f>(1-'R&amp;C-Painel de Controle'!$D$58)*J38+('R&amp;C-Painel de Controle'!$D$58)*H38</f>
        <v>5.0512499999999995E-2</v>
      </c>
      <c r="J38" s="1155">
        <f>H38*(1+J37)</f>
        <v>6.0749999999999998E-2</v>
      </c>
      <c r="K38" s="1140"/>
      <c r="L38" s="1154">
        <f>H38</f>
        <v>4.4999999999999998E-2</v>
      </c>
      <c r="M38" s="347">
        <f>(1-'R&amp;C-Painel de Controle'!$D$58)*N38+('R&amp;C-Painel de Controle'!$D$58)*L38</f>
        <v>5.0512499999999995E-2</v>
      </c>
      <c r="N38" s="1155">
        <f>L38*(1+N37)</f>
        <v>6.0749999999999998E-2</v>
      </c>
      <c r="O38" s="1140"/>
      <c r="P38" s="1154">
        <f>L38</f>
        <v>4.4999999999999998E-2</v>
      </c>
      <c r="Q38" s="347">
        <f>(1-'R&amp;C-Painel de Controle'!$D$58)*R38+('R&amp;C-Painel de Controle'!$D$58)*P38</f>
        <v>5.0512499999999995E-2</v>
      </c>
      <c r="R38" s="1155">
        <f>P38*(1+R37)</f>
        <v>6.0749999999999998E-2</v>
      </c>
      <c r="S38" s="1140"/>
      <c r="T38" s="1154">
        <f>P38</f>
        <v>4.4999999999999998E-2</v>
      </c>
      <c r="U38" s="347">
        <f>(1-'R&amp;C-Painel de Controle'!$D$58)*V38+('R&amp;C-Painel de Controle'!$D$58)*T38</f>
        <v>5.0512499999999995E-2</v>
      </c>
      <c r="V38" s="1155">
        <f>T38*(1+V37)</f>
        <v>6.0749999999999998E-2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84187.5</v>
      </c>
      <c r="F39" s="1157">
        <f>D39*(1+F37)</f>
        <v>101250</v>
      </c>
      <c r="G39" s="766"/>
      <c r="H39" s="1156">
        <v>100000</v>
      </c>
      <c r="I39" s="304">
        <f>(1-'R&amp;C-Painel de Controle'!$D$58)*J39+('R&amp;C-Painel de Controle'!$D$58)*H39</f>
        <v>112250</v>
      </c>
      <c r="J39" s="1157">
        <f>H39*(1+J37)</f>
        <v>135000</v>
      </c>
      <c r="K39" s="766"/>
      <c r="L39" s="1156">
        <v>100000</v>
      </c>
      <c r="M39" s="304">
        <f>(1-'R&amp;C-Painel de Controle'!$D$58)*N39+('R&amp;C-Painel de Controle'!$D$58)*L39</f>
        <v>112250</v>
      </c>
      <c r="N39" s="1157">
        <f>L39*(1+N37)</f>
        <v>135000</v>
      </c>
      <c r="O39" s="766"/>
      <c r="P39" s="1156">
        <v>125000</v>
      </c>
      <c r="Q39" s="304">
        <f>(1-'R&amp;C-Painel de Controle'!$D$58)*R39+('R&amp;C-Painel de Controle'!$D$58)*P39</f>
        <v>140312.5</v>
      </c>
      <c r="R39" s="1157">
        <f>P39*(1+R37)</f>
        <v>168750</v>
      </c>
      <c r="S39" s="766"/>
      <c r="T39" s="1156">
        <v>125000</v>
      </c>
      <c r="U39" s="304">
        <f>(1-'R&amp;C-Painel de Controle'!$D$58)*V39+('R&amp;C-Painel de Controle'!$D$58)*T39</f>
        <v>140312.5</v>
      </c>
      <c r="V39" s="1157">
        <f>T39*(1+V37)</f>
        <v>168750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f>(IF(E$7="SIM",(E43+E41*E42*D41)*12/$H$2,"-"))</f>
        <v>42.98886813322509</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f>(IF(E$7="SIM",($H$2*E45*'R&amp;C-Painel de Controle'!$D75+$H$2*E46*'R&amp;C-Painel de Controle'!$D$76+$H$2*E47*'R&amp;C-Painel de Controle'!$D$77+$H$2*E48*'R&amp;C-Painel de Controle'!$D$79+$H$2*E49*'R&amp;C-Painel de Controle'!$D$78+'R-Resumo Bal. Massa'!$G$39*313*E50*'R&amp;C-Painel de Controle'!$D$90)/$H$2+2.5,"-"))</f>
        <v>39.643674624999996</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19">
        <v>16.524999999999999</v>
      </c>
      <c r="E46" s="349">
        <f>(1-'R&amp;C-Painel de Controle'!$D$58)*F46+('R&amp;C-Painel de Controle'!$D$58)*D46</f>
        <v>17.970937499999998</v>
      </c>
      <c r="F46" s="1158">
        <f>D46*(1+F$44)</f>
        <v>20.65625</v>
      </c>
      <c r="G46" s="1140"/>
      <c r="H46" s="1819">
        <f t="shared" si="0"/>
        <v>16.524999999999999</v>
      </c>
      <c r="I46" s="349">
        <f>(1-'R&amp;C-Painel de Controle'!$D$58)*J46+('R&amp;C-Painel de Controle'!$D$58)*H46</f>
        <v>17.970937499999998</v>
      </c>
      <c r="J46" s="1158">
        <f>H46*(1+J$44)</f>
        <v>20.65625</v>
      </c>
      <c r="K46" s="1140"/>
      <c r="L46" s="1819">
        <f t="shared" si="1"/>
        <v>16.524999999999999</v>
      </c>
      <c r="M46" s="349">
        <f>(1-'R&amp;C-Painel de Controle'!$D$58)*N46+('R&amp;C-Painel de Controle'!$D$58)*L46</f>
        <v>17.970937499999998</v>
      </c>
      <c r="N46" s="1158">
        <f>L46*(1+N$44)</f>
        <v>20.65625</v>
      </c>
      <c r="O46" s="1140"/>
      <c r="P46" s="1819">
        <f t="shared" si="2"/>
        <v>16.524999999999999</v>
      </c>
      <c r="Q46" s="349">
        <f>(1-'R&amp;C-Painel de Controle'!$D$58)*R46+('R&amp;C-Painel de Controle'!$D$58)*P46</f>
        <v>17.970937499999998</v>
      </c>
      <c r="R46" s="1158">
        <f>P46*(1+R$44)</f>
        <v>20.65625</v>
      </c>
      <c r="S46" s="1140"/>
      <c r="T46" s="1819">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2">
        <v>0.214</v>
      </c>
      <c r="E47" s="1472">
        <f>(1-'R&amp;C-Painel de Controle'!$D$58)*F47+('R&amp;C-Painel de Controle'!$D$58)*D47</f>
        <v>0.23272500000000002</v>
      </c>
      <c r="F47" s="1823">
        <f>D47*(1+F$44)</f>
        <v>0.26750000000000002</v>
      </c>
      <c r="G47" s="1140"/>
      <c r="H47" s="1819">
        <f t="shared" si="0"/>
        <v>0.214</v>
      </c>
      <c r="I47" s="1472">
        <f>(1-'R&amp;C-Painel de Controle'!$D$58)*J47+('R&amp;C-Painel de Controle'!$D$58)*H47</f>
        <v>0.23272500000000002</v>
      </c>
      <c r="J47" s="1158">
        <f>H47*(1+J$44)</f>
        <v>0.26750000000000002</v>
      </c>
      <c r="K47" s="1140"/>
      <c r="L47" s="1819">
        <f t="shared" si="1"/>
        <v>0.214</v>
      </c>
      <c r="M47" s="1472">
        <f>(1-'R&amp;C-Painel de Controle'!$D$58)*N47+('R&amp;C-Painel de Controle'!$D$58)*L47</f>
        <v>0.23272500000000002</v>
      </c>
      <c r="N47" s="1158">
        <f>L47*(1+N$44)</f>
        <v>0.26750000000000002</v>
      </c>
      <c r="O47" s="1140"/>
      <c r="P47" s="1819">
        <f t="shared" si="2"/>
        <v>0.214</v>
      </c>
      <c r="Q47" s="1472">
        <f>(1-'R&amp;C-Painel de Controle'!$D$58)*R47+('R&amp;C-Painel de Controle'!$D$58)*P47</f>
        <v>0.23272500000000002</v>
      </c>
      <c r="R47" s="1158">
        <f>P47*(1+R$44)</f>
        <v>0.26750000000000002</v>
      </c>
      <c r="S47" s="1140"/>
      <c r="T47" s="1819">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1021</v>
      </c>
      <c r="C49" s="652"/>
      <c r="D49" s="1819">
        <v>0.61199999999999999</v>
      </c>
      <c r="E49" s="349">
        <f>(1-'R&amp;C-Painel de Controle'!$D$58)*F49+('R&amp;C-Painel de Controle'!$D$58)*D49</f>
        <v>0.68161499999999997</v>
      </c>
      <c r="F49" s="1158">
        <f>D49*(1+F$44+0.075)</f>
        <v>0.81089999999999995</v>
      </c>
      <c r="G49" s="1140"/>
      <c r="H49" s="1819">
        <f t="shared" si="0"/>
        <v>0.61199999999999999</v>
      </c>
      <c r="I49" s="349">
        <f>(1-'R&amp;C-Painel de Controle'!$D$58)*J49+('R&amp;C-Painel de Controle'!$D$58)*H49</f>
        <v>0.68161499999999997</v>
      </c>
      <c r="J49" s="1158">
        <f>H49*(1+J$44+0.075)</f>
        <v>0.81089999999999995</v>
      </c>
      <c r="K49" s="1140"/>
      <c r="L49" s="1819">
        <f t="shared" si="1"/>
        <v>0.61199999999999999</v>
      </c>
      <c r="M49" s="349">
        <f>(1-'R&amp;C-Painel de Controle'!$D$58)*N49+('R&amp;C-Painel de Controle'!$D$58)*L49</f>
        <v>0.68161499999999997</v>
      </c>
      <c r="N49" s="1158">
        <f>L49*(1+N$44+0.075)</f>
        <v>0.81089999999999995</v>
      </c>
      <c r="O49" s="1140"/>
      <c r="P49" s="1819">
        <f t="shared" si="2"/>
        <v>0.61199999999999999</v>
      </c>
      <c r="Q49" s="349">
        <f>(1-'R&amp;C-Painel de Controle'!$D$58)*R49+('R&amp;C-Painel de Controle'!$D$58)*P49</f>
        <v>0.68161499999999997</v>
      </c>
      <c r="R49" s="1158">
        <f>P49*(1+R$44+0.075)</f>
        <v>0.81089999999999995</v>
      </c>
      <c r="S49" s="1140"/>
      <c r="T49" s="1819">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f>(IF(E$7="SIM",(1-'R&amp;C-Painel de Controle'!$D$58)*(E29+E34+E37+E40+E44)*(1+F51)+('R&amp;C-Painel de Controle'!$D$58)*(E29+E34+E37+E40+E44)*(1+D51),"-"))</f>
        <v>275.83758076058143</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f>(IF(E$7="SIM",E51*$H$2/1000000,"-"))</f>
        <v>40.038888640004288</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f>(IF(E$7="SIM",(((E29*$H$2/12)+(E36/1000*'R&amp;C-Painel de Controle'!$D$69*12)+(E39*12)+((E41*E42)+E43)*12))/1000000,"-"))</f>
        <v>10.822964579107685</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f>(IF(E$7="SIM",((E52-E53)*1000000)/$H$2,"-"))</f>
        <v>201.27556199426317</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8CKliSN9UZU9V/Jn24MkiSsSf5upeeY7RU8kNOORjl7sYVQBVPCpBdNqquFtRdu+fqDMjhm9zmmkbh1nJBZSNg==" saltValue="JvrDTv60dx/MpB7+O8bEx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V33" sqref="V3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948"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948"/>
      <c r="C2" s="436"/>
      <c r="D2" s="899">
        <f>IF('R-Definição'!E121="Novo",('R-Resumo Bal. Massa'!B47+'R&amp;C-Painel de Controle'!D31)*(1+'R&amp;C-Painel de Controle'!H74),0)</f>
        <v>152.75006810897438</v>
      </c>
      <c r="E2" s="900" t="s">
        <v>21</v>
      </c>
      <c r="H2" s="1105">
        <f>D2*313</f>
        <v>47810.771318108978</v>
      </c>
      <c r="I2" s="1104" t="s">
        <v>249</v>
      </c>
      <c r="L2" s="1086" t="str">
        <f>IF(D2&gt;0,"Sim","Não")</f>
        <v>Sim</v>
      </c>
      <c r="M2" s="431"/>
      <c r="N2" s="431"/>
      <c r="O2" s="431"/>
      <c r="P2" s="1106" t="s">
        <v>436</v>
      </c>
      <c r="Q2" s="2939" t="str">
        <f>'R-Definição'!D2</f>
        <v>CIRSOP - Consórcio RSU Oeste Paulista</v>
      </c>
      <c r="R2" s="2940"/>
      <c r="S2" s="429"/>
      <c r="T2" s="1106" t="s">
        <v>437</v>
      </c>
      <c r="U2" s="2939" t="str">
        <f>'R-Definição'!D3</f>
        <v>Biodigestão c/ Prod. E. Elétrica</v>
      </c>
      <c r="V2" s="2940"/>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948"/>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942" t="s">
        <v>640</v>
      </c>
      <c r="C9" s="901"/>
      <c r="D9" s="2945" t="s">
        <v>402</v>
      </c>
      <c r="E9" s="2946"/>
      <c r="F9" s="2946"/>
      <c r="G9" s="2946"/>
      <c r="H9" s="2946"/>
      <c r="I9" s="2946"/>
      <c r="J9" s="2946"/>
      <c r="K9" s="2946"/>
      <c r="L9" s="2946"/>
      <c r="M9" s="2946"/>
      <c r="N9" s="2946"/>
      <c r="O9" s="2946"/>
      <c r="P9" s="2946"/>
      <c r="Q9" s="2946"/>
      <c r="R9" s="2946"/>
      <c r="S9" s="2946"/>
      <c r="T9" s="2946"/>
      <c r="U9" s="2946"/>
      <c r="V9" s="2947"/>
    </row>
    <row r="10" spans="1:61" ht="7.5" customHeight="1" x14ac:dyDescent="0.25">
      <c r="A10" s="405"/>
      <c r="B10" s="2943"/>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944"/>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1.1383967779269433</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10.616880801903907</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2.9310299690982573</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14.686307548929108</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307.17570840289852</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5.6208323002945608</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12.629333212793412</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1.199344894135413</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0.6411704659033185</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0.55817442823209451</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1.0888605888784281E-2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1.0888605888784281E-2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0.1755114443262773</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Controle'!$D$61)*('R&amp;C-Painel de Controle'!$D$91/8.05)</f>
        <v>7187.5000000000055</v>
      </c>
      <c r="E32" s="377" t="str">
        <f>(IF(E$7="SIM",(D32*(1-(($D$2-D$11)/(F$11-D$11)))+F32*(1-((F$11-$D$2)/(F$11-D$11))))/1000000,"-"))</f>
        <v>-</v>
      </c>
      <c r="F32" s="1198">
        <f>9643.22916666667*(1+'R&amp;C-Painel de Controle'!$D$61)*('R&amp;C-Painel de Controle'!$D$91/8.05)</f>
        <v>17968.750000000004</v>
      </c>
      <c r="G32" s="1185"/>
      <c r="H32" s="1197">
        <f t="shared" si="0"/>
        <v>17968.750000000004</v>
      </c>
      <c r="I32" s="377" t="str">
        <f>(IF(I$7="SIM",(H32*(1-(($D$2-H$11)/(J$11-H$11)))+J32*(1-((J$11-$D$2)/(J$11-H$11))))/1000000,"-"))</f>
        <v>-</v>
      </c>
      <c r="J32" s="1198">
        <f>24750.6194444444*(1+'R&amp;C-Painel de Controle'!$D$61)*('R&amp;C-Painel de Controle'!$D$91/8.05)</f>
        <v>46119.166666666577</v>
      </c>
      <c r="K32" s="1185"/>
      <c r="L32" s="1197">
        <f t="shared" si="1"/>
        <v>46119.166666666577</v>
      </c>
      <c r="M32" s="377">
        <f>(IF(M$7="SIM",(L32*(1-(($D$2-L$11)/(N$11-L$11)))+N32*(1-((N$11-$D$2)/(N$11-L$11))))/1000000,"-"))</f>
        <v>5.9580984048076852E-2</v>
      </c>
      <c r="N32" s="1198">
        <f>52142.0861111111*(1+'R&amp;C-Painel de Controle'!$D$61)*('R&amp;C-Painel de Controle'!$D$91/8.05)</f>
        <v>97159.166666666628</v>
      </c>
      <c r="O32" s="1185"/>
      <c r="P32" s="1197">
        <f t="shared" si="2"/>
        <v>97159.166666666628</v>
      </c>
      <c r="Q32" s="377" t="str">
        <f>(IF(Q$7="SIM",(P32*(1-(($D$2-P$11)/(R$11-P$11)))+R32*(1-((R$11-$D$2)/(R$11-P$11))))/1000000,"-"))</f>
        <v>-</v>
      </c>
      <c r="R32" s="1198">
        <f>98949.2583333333*(1+'R&amp;C-Painel de Controle'!$D$61)*('R&amp;C-Painel de Controle'!$D$91/8.05)</f>
        <v>184377.49999999991</v>
      </c>
      <c r="S32" s="1185"/>
      <c r="T32" s="1197">
        <f t="shared" si="3"/>
        <v>184377.49999999991</v>
      </c>
      <c r="U32" s="377" t="str">
        <f>(IF(U$7="SIM",(T32*(1-(($D$2-T$11)/(V$11-T$11)))+V32*(1-((V$11-$D$2)/(V$11-T$11))))/1000000,"-"))</f>
        <v>-</v>
      </c>
      <c r="V32" s="1210">
        <f>178111.616666667*(1+'R&amp;C-Painel de Controle'!$D$61)*('R&amp;C-Painel de Controle'!$D$91/8.05)</f>
        <v>331885.00000000058</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4.3563091994328604E-2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1.5494692012219553E-3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7.0817899082649877E-2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1.6144645180630861</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1.0928695163042028</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2.7454687762106356E-2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4.2493605200821315E-2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0.45164670879595553</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2.1077919636824305</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1.8304625278951707</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9.3253916580528867E-2</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0.18407551920673076</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117.5216674778345</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5.6188015687055906</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1.5429065006074307</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85.250560819845205</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oYxTZK8MqIzEYFhtZofc9f5NWVcrDggmxbW1bHGHt4p4QrdXUZ4fs8SD6D1OX7huFMhYwIYeq9HlhPJzHnD/mg==" saltValue="1RV0+aZJGKuLcG6njd237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15246-FB2E-4321-AB6B-8598766676CB}">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6" customWidth="1"/>
    <col min="2" max="2" width="11.42578125" style="1846"/>
    <col min="3" max="3" width="5.7109375" style="1846" customWidth="1"/>
    <col min="4" max="4" width="14.85546875" style="1846" customWidth="1"/>
    <col min="5" max="5" width="14" style="1846" customWidth="1"/>
    <col min="6" max="10" width="11.42578125" style="1846"/>
    <col min="11" max="11" width="6.5703125" style="1846" customWidth="1"/>
    <col min="12" max="15" width="11.42578125" style="1844"/>
    <col min="16" max="16" width="12.42578125" style="1844" customWidth="1"/>
    <col min="17" max="17" width="15.85546875" style="1844" customWidth="1"/>
    <col min="18" max="18" width="11.42578125" style="1844"/>
    <col min="19" max="19" width="14.28515625" style="1844" customWidth="1"/>
    <col min="20" max="20" width="12.7109375" style="1844" customWidth="1"/>
    <col min="21" max="21" width="11.42578125" style="1844"/>
    <col min="22" max="22" width="15.5703125" style="1844" customWidth="1"/>
    <col min="23" max="23" width="12.7109375" style="1844" customWidth="1"/>
    <col min="24" max="16384" width="11.42578125" style="1844"/>
  </cols>
  <sheetData>
    <row r="1" spans="1:23" ht="21" x14ac:dyDescent="0.2">
      <c r="A1" s="1840"/>
      <c r="B1" s="1841"/>
      <c r="C1" s="1840"/>
      <c r="D1" s="1840"/>
      <c r="E1" s="1840"/>
      <c r="F1" s="1840"/>
      <c r="G1" s="1840"/>
      <c r="H1" s="1840"/>
      <c r="I1" s="1840"/>
      <c r="J1" s="1840"/>
      <c r="K1" s="1842"/>
      <c r="L1" s="1843"/>
    </row>
    <row r="2" spans="1:23" ht="19.5" customHeight="1" x14ac:dyDescent="0.2">
      <c r="A2" s="1840"/>
      <c r="B2" s="1840"/>
      <c r="C2" s="1840"/>
      <c r="D2" s="1840"/>
      <c r="E2" s="1840"/>
      <c r="F2" s="1840"/>
      <c r="G2" s="1840"/>
      <c r="H2" s="1840"/>
      <c r="I2" s="1840"/>
      <c r="J2" s="1840"/>
      <c r="K2" s="1842"/>
      <c r="L2" s="1843"/>
    </row>
    <row r="3" spans="1:23" ht="20.25" customHeight="1" x14ac:dyDescent="0.3">
      <c r="A3" s="1842"/>
      <c r="B3" s="1845"/>
      <c r="C3" s="1842"/>
      <c r="D3" s="1842"/>
      <c r="E3" s="1842"/>
      <c r="F3" s="1842"/>
      <c r="G3" s="1842"/>
      <c r="H3" s="1842"/>
      <c r="I3" s="1842"/>
      <c r="J3" s="1842"/>
      <c r="K3" s="1842"/>
      <c r="L3" s="1843"/>
    </row>
    <row r="4" spans="1:23" ht="9" customHeight="1" x14ac:dyDescent="0.2">
      <c r="A4" s="1842"/>
      <c r="B4" s="1842"/>
      <c r="C4" s="1842"/>
      <c r="D4" s="1842"/>
      <c r="E4" s="1842"/>
      <c r="F4" s="1842"/>
      <c r="G4" s="1842"/>
      <c r="H4" s="1842"/>
      <c r="I4" s="1842"/>
      <c r="J4" s="1842"/>
      <c r="K4" s="1842"/>
      <c r="L4" s="1843"/>
    </row>
    <row r="5" spans="1:23" ht="9" customHeight="1" x14ac:dyDescent="0.2"/>
    <row r="6" spans="1:23" ht="9" customHeight="1" x14ac:dyDescent="0.2"/>
    <row r="7" spans="1:23" ht="18.75" x14ac:dyDescent="0.3">
      <c r="B7" s="1847"/>
      <c r="C7" s="1848"/>
      <c r="D7" s="1848"/>
      <c r="E7" s="1848"/>
      <c r="F7" s="1848"/>
      <c r="G7" s="1848"/>
    </row>
    <row r="8" spans="1:23" ht="14.25" x14ac:dyDescent="0.25">
      <c r="B8" s="1849"/>
      <c r="C8" s="1848"/>
      <c r="D8" s="1848"/>
      <c r="E8" s="1848"/>
      <c r="F8" s="1848"/>
      <c r="G8" s="1848"/>
    </row>
    <row r="9" spans="1:23" ht="14.25" x14ac:dyDescent="0.25">
      <c r="B9" s="1850"/>
      <c r="C9" s="1848"/>
      <c r="D9" s="1848"/>
      <c r="E9" s="1848"/>
      <c r="F9" s="1848"/>
      <c r="G9" s="1848"/>
    </row>
    <row r="10" spans="1:23" ht="121.5" customHeight="1" x14ac:dyDescent="0.2"/>
    <row r="11" spans="1:23" ht="21" customHeight="1" x14ac:dyDescent="0.2">
      <c r="A11" s="1851"/>
      <c r="B11" s="1844"/>
      <c r="C11" s="1844"/>
      <c r="D11" s="1844"/>
      <c r="E11" s="1844"/>
      <c r="F11" s="1844"/>
      <c r="G11" s="1844"/>
      <c r="H11" s="1844"/>
      <c r="I11" s="1851"/>
      <c r="J11" s="1851"/>
      <c r="K11" s="1842"/>
    </row>
    <row r="12" spans="1:23" ht="21" customHeight="1" x14ac:dyDescent="0.2">
      <c r="A12" s="1851"/>
      <c r="B12" s="1844"/>
      <c r="C12" s="1844"/>
      <c r="D12" s="1844"/>
      <c r="E12" s="1844"/>
      <c r="F12" s="1844"/>
      <c r="G12" s="1844"/>
      <c r="H12" s="1844"/>
      <c r="I12" s="1844"/>
      <c r="J12" s="1844"/>
      <c r="K12" s="1844"/>
    </row>
    <row r="13" spans="1:23" ht="24.75" customHeight="1" x14ac:dyDescent="0.2">
      <c r="A13" s="1851"/>
      <c r="B13" s="1844"/>
      <c r="C13" s="1844"/>
      <c r="D13" s="1844"/>
      <c r="E13" s="1844"/>
      <c r="F13" s="1844"/>
      <c r="G13" s="1844"/>
      <c r="H13" s="1844"/>
      <c r="I13" s="1844"/>
      <c r="J13" s="1844"/>
      <c r="K13" s="1844"/>
      <c r="L13" s="1852" t="s">
        <v>1036</v>
      </c>
      <c r="M13" s="1853"/>
      <c r="N13" s="1854"/>
      <c r="O13" s="1854"/>
      <c r="P13" s="1854"/>
      <c r="Q13" s="1854"/>
      <c r="R13" s="1854"/>
      <c r="S13" s="1854"/>
      <c r="T13" s="1854"/>
      <c r="U13" s="1854"/>
      <c r="V13" s="1854"/>
      <c r="W13" s="1854"/>
    </row>
    <row r="14" spans="1:23" ht="24.75" customHeight="1" x14ac:dyDescent="0.2">
      <c r="A14" s="1851"/>
      <c r="B14" s="1844"/>
      <c r="C14" s="1844"/>
      <c r="D14" s="1844"/>
      <c r="E14" s="1844"/>
      <c r="F14" s="1844"/>
      <c r="G14" s="1844"/>
      <c r="H14" s="1844"/>
      <c r="I14" s="1844"/>
      <c r="J14" s="1844"/>
      <c r="K14" s="1844"/>
      <c r="L14" s="1855" t="s">
        <v>1037</v>
      </c>
    </row>
    <row r="15" spans="1:23" ht="24.75" customHeight="1" x14ac:dyDescent="0.2">
      <c r="L15" s="1855" t="s">
        <v>1038</v>
      </c>
    </row>
    <row r="16" spans="1:23" ht="24.75" customHeight="1" x14ac:dyDescent="0.2">
      <c r="L16" s="1855" t="s">
        <v>1039</v>
      </c>
    </row>
    <row r="17" spans="2:23" ht="24.75" customHeight="1" x14ac:dyDescent="0.2">
      <c r="B17" s="1844"/>
      <c r="C17" s="1844"/>
      <c r="D17" s="1844"/>
      <c r="E17" s="1844"/>
      <c r="F17" s="1844"/>
      <c r="G17" s="1844"/>
      <c r="H17" s="1844"/>
      <c r="I17" s="1844"/>
      <c r="J17" s="1844"/>
      <c r="K17" s="1844"/>
      <c r="L17" s="1855" t="s">
        <v>1040</v>
      </c>
    </row>
    <row r="18" spans="2:23" ht="24.75" customHeight="1" x14ac:dyDescent="0.2"/>
    <row r="19" spans="2:23" ht="24.75" customHeight="1" x14ac:dyDescent="0.2">
      <c r="L19" s="1856" t="s">
        <v>1041</v>
      </c>
      <c r="M19" s="1857"/>
      <c r="N19" s="1858"/>
      <c r="O19" s="1858"/>
      <c r="P19" s="1858"/>
      <c r="Q19" s="1858"/>
      <c r="R19" s="1858"/>
      <c r="S19" s="1857"/>
      <c r="T19" s="1857"/>
      <c r="U19" s="1857"/>
      <c r="V19" s="1857"/>
      <c r="W19" s="1857"/>
    </row>
    <row r="20" spans="2:23" ht="24.75" customHeight="1" x14ac:dyDescent="0.2">
      <c r="B20" s="1844"/>
      <c r="C20" s="1844"/>
      <c r="D20" s="1844"/>
      <c r="E20" s="1844"/>
      <c r="F20" s="1844"/>
      <c r="G20" s="1844"/>
      <c r="H20" s="1844"/>
      <c r="I20" s="1844"/>
      <c r="J20" s="1844"/>
      <c r="K20" s="1844"/>
      <c r="L20" s="1856" t="s">
        <v>1042</v>
      </c>
      <c r="M20" s="1857"/>
      <c r="N20" s="1858"/>
      <c r="O20" s="1858"/>
      <c r="P20" s="1858"/>
      <c r="Q20" s="1858"/>
      <c r="R20" s="1858"/>
      <c r="S20" s="1857"/>
      <c r="T20" s="1857"/>
      <c r="U20" s="1857"/>
      <c r="V20" s="1857"/>
      <c r="W20" s="1857"/>
    </row>
    <row r="21" spans="2:23" ht="24.75" customHeight="1" x14ac:dyDescent="0.2">
      <c r="B21" s="1844"/>
      <c r="C21" s="1844"/>
      <c r="D21" s="1844"/>
      <c r="E21" s="1844"/>
      <c r="F21" s="1844"/>
      <c r="G21" s="1844"/>
      <c r="H21" s="1844"/>
      <c r="I21" s="1844"/>
      <c r="J21" s="1844"/>
      <c r="K21" s="1844"/>
      <c r="L21" s="1859" t="s">
        <v>1043</v>
      </c>
      <c r="M21" s="1859"/>
      <c r="N21" s="1859"/>
      <c r="O21" s="1859"/>
      <c r="P21" s="1859"/>
      <c r="Q21" s="1859"/>
      <c r="R21" s="1859"/>
      <c r="S21" s="1859"/>
      <c r="T21" s="1859"/>
      <c r="U21" s="1859"/>
      <c r="V21" s="1859"/>
      <c r="W21" s="1859"/>
    </row>
    <row r="23" spans="2:23" ht="14.25" x14ac:dyDescent="0.25">
      <c r="L23" s="1860" t="s">
        <v>1044</v>
      </c>
    </row>
    <row r="25" spans="2:23" ht="18.75" customHeight="1" x14ac:dyDescent="0.2">
      <c r="M25" s="1861" t="s">
        <v>1045</v>
      </c>
      <c r="N25" s="1862" t="s">
        <v>1046</v>
      </c>
    </row>
    <row r="26" spans="2:23" ht="18.75" customHeight="1" x14ac:dyDescent="0.25">
      <c r="C26" s="1863"/>
      <c r="D26" s="1863"/>
      <c r="E26" s="1863"/>
      <c r="F26" s="1863"/>
      <c r="G26" s="1863"/>
      <c r="H26" s="1863"/>
      <c r="I26" s="1863"/>
      <c r="J26" s="1863"/>
      <c r="L26" s="1846"/>
      <c r="M26" s="1864" t="s">
        <v>1047</v>
      </c>
      <c r="N26" s="1862" t="s">
        <v>1048</v>
      </c>
    </row>
    <row r="27" spans="2:23" ht="18.75" customHeight="1" x14ac:dyDescent="0.2">
      <c r="M27" s="1864" t="s">
        <v>1049</v>
      </c>
      <c r="N27" s="1862" t="s">
        <v>1050</v>
      </c>
    </row>
    <row r="28" spans="2:23" ht="18.75" customHeight="1" x14ac:dyDescent="0.2">
      <c r="M28" s="1864" t="s">
        <v>1051</v>
      </c>
      <c r="N28" s="1862" t="s">
        <v>1052</v>
      </c>
    </row>
    <row r="29" spans="2:23" ht="18.75" customHeight="1" x14ac:dyDescent="0.2">
      <c r="M29" s="1864" t="s">
        <v>1053</v>
      </c>
      <c r="N29" s="1862" t="s">
        <v>1054</v>
      </c>
    </row>
    <row r="31" spans="2:23" x14ac:dyDescent="0.2">
      <c r="B31" s="1844"/>
      <c r="C31" s="1844"/>
      <c r="D31" s="1844"/>
      <c r="E31" s="1844"/>
      <c r="F31" s="1844"/>
      <c r="G31" s="1844"/>
      <c r="H31" s="1844"/>
      <c r="I31" s="1844"/>
      <c r="J31" s="1844"/>
      <c r="K31" s="1844"/>
    </row>
    <row r="32" spans="2:23" ht="14.25" x14ac:dyDescent="0.25">
      <c r="L32" s="1865"/>
      <c r="M32" s="1866" t="s">
        <v>1055</v>
      </c>
      <c r="N32" s="1867" t="s">
        <v>1056</v>
      </c>
      <c r="O32" s="1865"/>
      <c r="P32" s="1865"/>
      <c r="Q32" s="1865"/>
      <c r="R32" s="1865"/>
      <c r="S32" s="1843"/>
    </row>
    <row r="33" spans="4:22" ht="14.25" x14ac:dyDescent="0.25">
      <c r="L33" s="1865"/>
      <c r="M33" s="1866" t="s">
        <v>1057</v>
      </c>
      <c r="N33" s="1868" t="s">
        <v>1058</v>
      </c>
      <c r="O33" s="1865"/>
      <c r="P33" s="1865"/>
      <c r="Q33" s="1865"/>
      <c r="R33" s="1865"/>
      <c r="S33" s="1843"/>
    </row>
    <row r="34" spans="4:22" ht="14.25" x14ac:dyDescent="0.25">
      <c r="L34" s="1865"/>
      <c r="M34" s="1866"/>
      <c r="N34" s="1868" t="s">
        <v>1059</v>
      </c>
      <c r="O34" s="1865"/>
      <c r="P34" s="1865"/>
      <c r="Q34" s="1865"/>
      <c r="R34" s="1865"/>
      <c r="S34" s="1843"/>
    </row>
    <row r="35" spans="4:22" ht="14.25" x14ac:dyDescent="0.25">
      <c r="L35" s="1865"/>
      <c r="M35" s="1869"/>
      <c r="N35" s="1868" t="s">
        <v>1060</v>
      </c>
      <c r="O35" s="1865"/>
      <c r="P35" s="1865"/>
      <c r="Q35" s="1865"/>
      <c r="R35" s="1865"/>
      <c r="S35" s="1843"/>
    </row>
    <row r="36" spans="4:22" ht="14.25" x14ac:dyDescent="0.25">
      <c r="L36" s="1865"/>
      <c r="M36" s="1866"/>
      <c r="N36" s="1868"/>
      <c r="O36" s="1865"/>
      <c r="P36" s="1865"/>
      <c r="Q36" s="1865"/>
      <c r="R36" s="1865"/>
      <c r="S36" s="1843"/>
    </row>
    <row r="37" spans="4:22" ht="14.25" x14ac:dyDescent="0.25">
      <c r="L37" s="2950" t="s">
        <v>1061</v>
      </c>
      <c r="M37" s="2950"/>
      <c r="N37" s="1867" t="s">
        <v>1062</v>
      </c>
      <c r="O37" s="1865"/>
      <c r="P37" s="1865"/>
      <c r="Q37" s="1865"/>
      <c r="R37" s="1865"/>
      <c r="S37" s="1843"/>
    </row>
    <row r="40" spans="4:22" ht="14.25" x14ac:dyDescent="0.25">
      <c r="D40" s="2951" t="s">
        <v>1063</v>
      </c>
      <c r="E40" s="2951"/>
      <c r="F40" s="1870" t="s">
        <v>1064</v>
      </c>
      <c r="G40" s="1871"/>
      <c r="H40" s="1871"/>
      <c r="I40" s="1872"/>
      <c r="J40" s="1872"/>
      <c r="K40" s="1873"/>
      <c r="L40" s="1873"/>
      <c r="M40" s="1873"/>
      <c r="N40" s="1872"/>
      <c r="O40" s="1872"/>
      <c r="P40" s="1872"/>
      <c r="Q40" s="1872"/>
      <c r="R40" s="1872"/>
      <c r="S40" s="1872"/>
      <c r="T40" s="1872"/>
      <c r="U40" s="1872"/>
      <c r="V40" s="1872"/>
    </row>
    <row r="41" spans="4:22" ht="14.25" x14ac:dyDescent="0.25">
      <c r="D41" s="2951" t="s">
        <v>1065</v>
      </c>
      <c r="E41" s="2951"/>
      <c r="F41" s="1874" t="s">
        <v>1066</v>
      </c>
      <c r="G41" s="1875"/>
      <c r="H41" s="1875"/>
      <c r="I41" s="1870"/>
      <c r="J41" s="1871"/>
      <c r="K41" s="1871"/>
      <c r="L41" s="1871"/>
      <c r="M41" s="1871"/>
      <c r="N41" s="1871"/>
      <c r="O41" s="1871"/>
      <c r="P41" s="1871"/>
      <c r="Q41" s="1871"/>
      <c r="R41" s="1871"/>
      <c r="S41" s="1871"/>
      <c r="T41" s="1871"/>
      <c r="U41" s="1872"/>
      <c r="V41" s="1872"/>
    </row>
    <row r="42" spans="4:22" ht="14.25" x14ac:dyDescent="0.25">
      <c r="D42" s="2952"/>
      <c r="E42" s="2952"/>
      <c r="F42" s="1876" t="s">
        <v>1067</v>
      </c>
      <c r="G42" s="1875"/>
      <c r="H42" s="1875"/>
      <c r="I42" s="1874"/>
      <c r="J42" s="1871"/>
      <c r="K42" s="1871"/>
      <c r="L42" s="1871"/>
      <c r="M42" s="1871"/>
      <c r="N42" s="1871"/>
      <c r="O42" s="1871"/>
      <c r="P42" s="1871"/>
      <c r="Q42" s="1871"/>
      <c r="R42" s="1871"/>
      <c r="S42" s="1871"/>
      <c r="T42" s="1871"/>
      <c r="U42" s="1872"/>
      <c r="V42" s="1872"/>
    </row>
    <row r="43" spans="4:22" ht="15" customHeight="1" x14ac:dyDescent="0.2">
      <c r="D43" s="2951" t="s">
        <v>1068</v>
      </c>
      <c r="E43" s="2951"/>
      <c r="F43" s="1877" t="s">
        <v>1069</v>
      </c>
      <c r="G43" s="1877"/>
      <c r="H43" s="1877"/>
      <c r="I43" s="1877"/>
      <c r="J43" s="1877"/>
      <c r="K43" s="1877"/>
      <c r="L43" s="1873"/>
      <c r="M43" s="1873"/>
      <c r="N43" s="1872"/>
      <c r="O43" s="1872"/>
      <c r="P43" s="1872"/>
      <c r="Q43" s="1872"/>
      <c r="R43" s="1872"/>
      <c r="S43" s="1872"/>
      <c r="T43" s="1872"/>
      <c r="U43" s="1872"/>
      <c r="V43" s="1872"/>
    </row>
    <row r="44" spans="4:22" ht="31.5" customHeight="1" x14ac:dyDescent="0.25">
      <c r="D44" s="2953" t="s">
        <v>1070</v>
      </c>
      <c r="E44" s="2953"/>
      <c r="F44" s="1878" t="s">
        <v>1071</v>
      </c>
      <c r="G44" s="1877"/>
      <c r="H44" s="1877"/>
      <c r="I44" s="1877"/>
      <c r="J44" s="1877"/>
      <c r="K44" s="1877"/>
      <c r="L44" s="1873"/>
      <c r="M44" s="1873"/>
      <c r="N44" s="1872"/>
      <c r="O44" s="1872"/>
      <c r="P44" s="1872"/>
      <c r="Q44" s="1872"/>
      <c r="R44" s="1872"/>
      <c r="S44" s="1872"/>
      <c r="T44" s="1872"/>
      <c r="U44" s="1872"/>
      <c r="V44" s="1872"/>
    </row>
    <row r="45" spans="4:22" ht="14.25" x14ac:dyDescent="0.2">
      <c r="D45" s="2951" t="s">
        <v>1072</v>
      </c>
      <c r="E45" s="2951"/>
      <c r="F45" s="1877" t="s">
        <v>1073</v>
      </c>
      <c r="G45" s="1877"/>
      <c r="H45" s="1877"/>
      <c r="I45" s="1877"/>
      <c r="J45" s="1877"/>
      <c r="K45" s="1877"/>
      <c r="L45" s="1877"/>
      <c r="M45" s="1877"/>
      <c r="N45" s="1879"/>
      <c r="O45" s="1879"/>
      <c r="P45" s="1872"/>
      <c r="Q45" s="1872"/>
      <c r="R45" s="1872"/>
      <c r="S45" s="1872"/>
      <c r="T45" s="1872"/>
      <c r="U45" s="1872"/>
      <c r="V45" s="1872"/>
    </row>
    <row r="46" spans="4:22" ht="15.75" x14ac:dyDescent="0.2">
      <c r="D46" s="2951" t="s">
        <v>1074</v>
      </c>
      <c r="E46" s="2951"/>
      <c r="F46" s="1879" t="s">
        <v>1075</v>
      </c>
      <c r="G46" s="1877"/>
      <c r="H46" s="1877"/>
      <c r="I46" s="1877"/>
      <c r="J46" s="1880"/>
      <c r="K46" s="1877"/>
      <c r="L46" s="1877"/>
      <c r="M46" s="1879"/>
      <c r="N46" s="1879"/>
      <c r="O46" s="1881"/>
      <c r="P46" s="1872"/>
      <c r="Q46" s="1872"/>
      <c r="R46" s="1872"/>
      <c r="S46" s="1872"/>
      <c r="T46" s="1872"/>
      <c r="U46" s="1872"/>
      <c r="V46" s="1872"/>
    </row>
    <row r="47" spans="4:22" ht="15.75" x14ac:dyDescent="0.2">
      <c r="D47" s="2951" t="s">
        <v>1076</v>
      </c>
      <c r="E47" s="2951"/>
      <c r="F47" s="1877" t="s">
        <v>1077</v>
      </c>
      <c r="G47" s="1877"/>
      <c r="H47" s="1877"/>
      <c r="I47" s="1877"/>
      <c r="J47" s="1877"/>
      <c r="K47" s="1880"/>
      <c r="L47" s="1877"/>
      <c r="M47" s="1877"/>
      <c r="N47" s="1879"/>
      <c r="O47" s="1879"/>
      <c r="P47" s="1872"/>
      <c r="Q47" s="1872"/>
      <c r="R47" s="1872"/>
      <c r="S47" s="1872"/>
      <c r="T47" s="1872"/>
      <c r="U47" s="1872"/>
      <c r="V47" s="1872"/>
    </row>
    <row r="48" spans="4:22" ht="18.75" x14ac:dyDescent="0.2">
      <c r="D48" s="2951" t="s">
        <v>1078</v>
      </c>
      <c r="E48" s="2951"/>
      <c r="F48" s="1882" t="s">
        <v>1079</v>
      </c>
      <c r="G48" s="1877"/>
      <c r="H48" s="1883"/>
      <c r="I48" s="1880"/>
      <c r="J48" s="1880"/>
      <c r="K48" s="1880"/>
      <c r="L48" s="1877"/>
      <c r="M48" s="1877"/>
      <c r="N48" s="1879"/>
      <c r="O48" s="1879"/>
      <c r="P48" s="1872"/>
      <c r="Q48" s="1872"/>
      <c r="R48" s="1872"/>
      <c r="S48" s="1872"/>
      <c r="T48" s="1872"/>
      <c r="U48" s="1872"/>
      <c r="V48" s="1872"/>
    </row>
    <row r="49" spans="4:22" ht="14.25" x14ac:dyDescent="0.2">
      <c r="D49" s="1884"/>
      <c r="E49" s="1885"/>
      <c r="F49" s="1885"/>
      <c r="G49" s="1885"/>
      <c r="H49" s="1885"/>
      <c r="I49" s="1885"/>
      <c r="J49" s="1885"/>
      <c r="K49" s="1885"/>
      <c r="L49" s="1877"/>
      <c r="M49" s="1877"/>
      <c r="N49" s="1879"/>
      <c r="O49" s="1879"/>
      <c r="P49" s="1872"/>
      <c r="Q49" s="1872"/>
      <c r="R49" s="1872"/>
      <c r="S49" s="1872"/>
      <c r="T49" s="1872"/>
      <c r="U49" s="1872"/>
      <c r="V49" s="1872"/>
    </row>
    <row r="50" spans="4:22" x14ac:dyDescent="0.2">
      <c r="L50" s="1846"/>
      <c r="M50" s="1846"/>
      <c r="T50" s="1886"/>
      <c r="U50" s="1886"/>
    </row>
    <row r="51" spans="4:22" x14ac:dyDescent="0.2">
      <c r="L51" s="1846"/>
      <c r="M51" s="1846"/>
      <c r="T51" s="1886"/>
      <c r="U51" s="1886"/>
    </row>
    <row r="52" spans="4:22" ht="15.75" x14ac:dyDescent="0.25">
      <c r="D52" s="2954" t="s">
        <v>1080</v>
      </c>
      <c r="E52" s="2954"/>
      <c r="F52" s="2954"/>
      <c r="G52" s="2954"/>
      <c r="H52" s="2954"/>
      <c r="I52" s="2954"/>
      <c r="J52" s="2954"/>
      <c r="K52" s="2954"/>
      <c r="L52" s="2954"/>
      <c r="M52" s="2954"/>
      <c r="N52" s="2954"/>
      <c r="O52" s="2954"/>
      <c r="P52" s="2954"/>
      <c r="Q52" s="2954"/>
      <c r="R52" s="2954"/>
      <c r="S52" s="2954"/>
      <c r="T52" s="2954"/>
    </row>
    <row r="53" spans="4:22" ht="14.25" x14ac:dyDescent="0.2">
      <c r="D53" s="2949" t="s">
        <v>1081</v>
      </c>
      <c r="E53" s="2949"/>
      <c r="F53" s="2949"/>
      <c r="G53" s="2949"/>
      <c r="H53" s="2949"/>
      <c r="I53" s="2949"/>
      <c r="J53" s="2949"/>
      <c r="K53" s="2949"/>
      <c r="L53" s="2949"/>
      <c r="M53" s="2949"/>
      <c r="N53" s="2949"/>
      <c r="O53" s="2949"/>
      <c r="P53" s="2949"/>
      <c r="Q53" s="2949"/>
      <c r="R53" s="2949"/>
      <c r="S53" s="2949"/>
      <c r="T53" s="2949"/>
    </row>
    <row r="79" spans="12:13" x14ac:dyDescent="0.2">
      <c r="L79" s="1846"/>
      <c r="M79" s="1846"/>
    </row>
  </sheetData>
  <sheetProtection selectLockedCells="1" selectUnlockedCells="1"/>
  <mergeCells count="12">
    <mergeCell ref="D53:T53"/>
    <mergeCell ref="L37:M37"/>
    <mergeCell ref="D40:E40"/>
    <mergeCell ref="D41:E41"/>
    <mergeCell ref="D42:E42"/>
    <mergeCell ref="D43:E43"/>
    <mergeCell ref="D44:E44"/>
    <mergeCell ref="D45:E45"/>
    <mergeCell ref="D46:E46"/>
    <mergeCell ref="D47:E47"/>
    <mergeCell ref="D48:E48"/>
    <mergeCell ref="D52:T52"/>
  </mergeCells>
  <hyperlinks>
    <hyperlink ref="D53" r:id="rId1" xr:uid="{9AEE5746-6392-428F-8415-68E7DEF901BB}"/>
    <hyperlink ref="F48" r:id="rId2" xr:uid="{E395F60B-CDE4-4819-80AC-53331BA39322}"/>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B1A6F-F1CC-4816-B5D0-6D0C0D85FD75}">
  <dimension ref="A1:T132"/>
  <sheetViews>
    <sheetView showGridLines="0" zoomScaleNormal="100" workbookViewId="0"/>
  </sheetViews>
  <sheetFormatPr defaultColWidth="11.42578125" defaultRowHeight="12.75" x14ac:dyDescent="0.2"/>
  <cols>
    <col min="1" max="1" width="12.140625" style="1844" customWidth="1"/>
    <col min="2" max="2" width="34.42578125" style="1844" customWidth="1"/>
    <col min="3" max="5" width="14.42578125" style="1844" customWidth="1"/>
    <col min="6" max="6" width="5.42578125" style="1844" customWidth="1"/>
    <col min="7" max="7" width="9.42578125" style="1844" customWidth="1"/>
    <col min="8" max="8" width="12.85546875" style="1844" customWidth="1"/>
    <col min="9" max="9" width="12.42578125" style="1844" customWidth="1"/>
    <col min="10" max="10" width="22.42578125" style="1844" customWidth="1"/>
    <col min="11" max="11" width="15.42578125" style="1844" customWidth="1"/>
    <col min="12" max="12" width="2.85546875" style="1844" customWidth="1"/>
    <col min="13" max="16384" width="11.42578125" style="1844"/>
  </cols>
  <sheetData>
    <row r="1" spans="1:20" x14ac:dyDescent="0.2">
      <c r="A1" s="1887"/>
      <c r="B1" s="1887"/>
      <c r="C1" s="1887"/>
      <c r="D1" s="1887"/>
      <c r="E1" s="1887"/>
      <c r="F1" s="1887"/>
      <c r="G1" s="1887"/>
      <c r="H1" s="1887"/>
      <c r="I1" s="1887"/>
      <c r="J1" s="1887"/>
      <c r="K1" s="1887"/>
      <c r="L1" s="1887"/>
      <c r="M1" s="1887"/>
      <c r="N1" s="1888"/>
      <c r="O1" s="1888"/>
      <c r="P1" s="1888"/>
      <c r="Q1" s="1888"/>
      <c r="R1" s="1888"/>
      <c r="S1" s="1888"/>
      <c r="T1" s="1888"/>
    </row>
    <row r="2" spans="1:20" ht="27" customHeight="1" x14ac:dyDescent="0.2">
      <c r="A2" s="1887"/>
      <c r="B2" s="1887"/>
      <c r="C2" s="1887"/>
      <c r="D2" s="1889"/>
      <c r="E2" s="1890" t="s">
        <v>1082</v>
      </c>
      <c r="F2" s="1891"/>
      <c r="G2" s="1891"/>
      <c r="H2" s="1887"/>
      <c r="I2" s="1887"/>
      <c r="J2" s="1887"/>
      <c r="K2" s="1887"/>
      <c r="L2" s="1887"/>
      <c r="M2" s="1887"/>
      <c r="N2" s="1888"/>
      <c r="O2" s="1888"/>
      <c r="P2" s="1888"/>
      <c r="Q2" s="1888"/>
      <c r="R2" s="1888"/>
      <c r="S2" s="1888"/>
      <c r="T2" s="1888"/>
    </row>
    <row r="3" spans="1:20" ht="26.1" customHeight="1" x14ac:dyDescent="0.2">
      <c r="A3" s="1892" t="s">
        <v>1083</v>
      </c>
      <c r="B3" s="1893"/>
      <c r="C3" s="1887"/>
      <c r="D3" s="1894"/>
      <c r="E3" s="1887"/>
      <c r="F3" s="1887"/>
      <c r="G3" s="1887"/>
      <c r="H3" s="1887"/>
      <c r="I3" s="1887"/>
      <c r="J3" s="1887"/>
      <c r="K3" s="1887"/>
      <c r="L3" s="1887"/>
      <c r="M3" s="1887"/>
      <c r="N3" s="1888"/>
      <c r="O3" s="1888"/>
      <c r="P3" s="1888"/>
      <c r="Q3" s="1888"/>
      <c r="R3" s="1888"/>
      <c r="S3" s="1888"/>
      <c r="T3" s="1888"/>
    </row>
    <row r="4" spans="1:20" ht="18" customHeight="1" x14ac:dyDescent="0.25">
      <c r="A4" s="1895" t="s">
        <v>1084</v>
      </c>
      <c r="B4" s="1896"/>
      <c r="C4" s="1896"/>
      <c r="D4" s="1897"/>
      <c r="E4" s="1896"/>
      <c r="F4" s="1898"/>
      <c r="G4" s="1887"/>
      <c r="H4" s="1887"/>
      <c r="I4" s="1887"/>
      <c r="J4" s="1887"/>
      <c r="K4" s="1887"/>
      <c r="L4" s="1887"/>
      <c r="M4" s="1887"/>
      <c r="N4" s="1888"/>
      <c r="O4" s="1888"/>
      <c r="P4" s="1888"/>
      <c r="Q4" s="1888"/>
      <c r="R4" s="1888"/>
      <c r="S4" s="1888"/>
      <c r="T4" s="1888"/>
    </row>
    <row r="5" spans="1:20" ht="18" customHeight="1" x14ac:dyDescent="0.25">
      <c r="A5" s="1899"/>
      <c r="B5" s="1896"/>
      <c r="C5" s="1896"/>
      <c r="D5" s="1897"/>
      <c r="E5" s="1896"/>
      <c r="F5" s="1898"/>
      <c r="G5" s="1887"/>
      <c r="H5" s="1887"/>
      <c r="I5" s="1887"/>
      <c r="J5" s="1887"/>
      <c r="K5" s="1887"/>
      <c r="L5" s="1887"/>
      <c r="M5" s="1887"/>
      <c r="N5" s="1888"/>
      <c r="O5" s="1888"/>
      <c r="P5" s="1888"/>
      <c r="Q5" s="1888"/>
      <c r="R5" s="1888"/>
      <c r="S5" s="1888"/>
      <c r="T5" s="1888"/>
    </row>
    <row r="6" spans="1:20" ht="18" customHeight="1" x14ac:dyDescent="0.25">
      <c r="A6" s="1896"/>
      <c r="B6" s="1896"/>
      <c r="C6" s="1896"/>
      <c r="D6" s="1897"/>
      <c r="E6" s="1896"/>
      <c r="F6" s="1898"/>
      <c r="G6" s="1887"/>
      <c r="H6" s="1900"/>
      <c r="I6" s="1900"/>
      <c r="J6" s="1901"/>
      <c r="K6" s="1887"/>
      <c r="L6" s="1887"/>
      <c r="M6" s="1887"/>
      <c r="N6" s="1888"/>
      <c r="O6" s="1888"/>
      <c r="P6" s="1888"/>
      <c r="Q6" s="1888"/>
      <c r="R6" s="1888"/>
      <c r="S6" s="1888"/>
      <c r="T6" s="1888"/>
    </row>
    <row r="7" spans="1:20" ht="18" customHeight="1" x14ac:dyDescent="0.25">
      <c r="A7" s="1902" t="s">
        <v>1085</v>
      </c>
      <c r="B7" s="1896"/>
      <c r="C7" s="1896"/>
      <c r="D7" s="1896"/>
      <c r="E7" s="1896"/>
      <c r="F7" s="1898"/>
      <c r="G7" s="1887"/>
      <c r="H7" s="1887"/>
      <c r="I7" s="1887"/>
      <c r="J7" s="1887"/>
      <c r="K7" s="1887"/>
      <c r="L7" s="1887"/>
      <c r="M7" s="1887"/>
      <c r="N7" s="1888"/>
      <c r="O7" s="1888"/>
      <c r="P7" s="1888"/>
      <c r="Q7" s="1888"/>
      <c r="R7" s="1888"/>
      <c r="S7" s="1888"/>
      <c r="T7" s="1888"/>
    </row>
    <row r="8" spans="1:20" ht="18" customHeight="1" x14ac:dyDescent="0.25">
      <c r="A8" s="1896"/>
      <c r="B8" s="1903"/>
      <c r="C8" s="1903"/>
      <c r="D8" s="1903"/>
      <c r="E8" s="1904" t="s">
        <v>1086</v>
      </c>
      <c r="F8" s="1898"/>
      <c r="G8" s="1887"/>
      <c r="H8" s="1887"/>
      <c r="I8" s="1887"/>
      <c r="J8" s="1887"/>
      <c r="K8" s="1887"/>
      <c r="L8" s="1887"/>
      <c r="M8" s="1887"/>
      <c r="N8" s="1888"/>
      <c r="O8" s="1888"/>
      <c r="P8" s="1888"/>
      <c r="Q8" s="1888"/>
      <c r="R8" s="1888"/>
      <c r="S8" s="1888"/>
      <c r="T8" s="1888"/>
    </row>
    <row r="9" spans="1:20" ht="18" customHeight="1" x14ac:dyDescent="0.25">
      <c r="A9" s="1896"/>
      <c r="B9" s="1905" t="s">
        <v>1083</v>
      </c>
      <c r="C9" s="1906"/>
      <c r="D9" s="1907"/>
      <c r="E9" s="1908">
        <f>'R&amp;C-Painel de Controle'!D8</f>
        <v>146000</v>
      </c>
      <c r="F9" s="1898"/>
      <c r="G9" s="1909"/>
      <c r="H9" s="1887"/>
      <c r="I9" s="1887"/>
      <c r="J9" s="1887"/>
      <c r="K9" s="1887"/>
      <c r="L9" s="1887"/>
      <c r="M9" s="1887"/>
      <c r="N9" s="1888"/>
      <c r="O9" s="1888"/>
      <c r="P9" s="1888"/>
      <c r="Q9" s="1888"/>
      <c r="R9" s="1888"/>
      <c r="S9" s="1888"/>
      <c r="T9" s="1888"/>
    </row>
    <row r="10" spans="1:20" ht="18" customHeight="1" x14ac:dyDescent="0.25">
      <c r="A10" s="1896"/>
      <c r="B10" s="1896"/>
      <c r="C10" s="1896"/>
      <c r="D10" s="1896"/>
      <c r="E10" s="1896"/>
      <c r="F10" s="1898"/>
      <c r="G10" s="1887"/>
      <c r="H10" s="1887"/>
      <c r="I10" s="1887"/>
      <c r="J10" s="1887"/>
      <c r="K10" s="1887"/>
      <c r="L10" s="1887"/>
      <c r="M10" s="1887"/>
      <c r="N10" s="1888"/>
      <c r="O10" s="1888"/>
      <c r="P10" s="1888"/>
      <c r="Q10" s="1888"/>
      <c r="R10" s="1888"/>
      <c r="S10" s="1888"/>
      <c r="T10" s="1888"/>
    </row>
    <row r="11" spans="1:20" ht="18" customHeight="1" x14ac:dyDescent="0.25">
      <c r="A11" s="1895" t="s">
        <v>1087</v>
      </c>
      <c r="B11" s="1896"/>
      <c r="C11" s="1896"/>
      <c r="D11" s="1896"/>
      <c r="E11" s="1896"/>
      <c r="F11" s="1898"/>
      <c r="G11" s="1887"/>
      <c r="H11" s="1887"/>
      <c r="I11" s="1887"/>
      <c r="J11" s="1887"/>
      <c r="K11" s="1887"/>
      <c r="L11" s="1887"/>
      <c r="M11" s="1887"/>
      <c r="N11" s="1888"/>
      <c r="O11" s="1888"/>
      <c r="P11" s="1888"/>
      <c r="Q11" s="1888"/>
      <c r="R11" s="1888"/>
      <c r="S11" s="1888"/>
      <c r="T11" s="1888"/>
    </row>
    <row r="12" spans="1:20" ht="33" customHeight="1" x14ac:dyDescent="0.25">
      <c r="A12" s="1896"/>
      <c r="B12" s="1896"/>
      <c r="C12" s="1896"/>
      <c r="D12" s="1896"/>
      <c r="E12" s="1896"/>
      <c r="F12" s="1898"/>
      <c r="G12" s="1887"/>
      <c r="H12" s="1887"/>
      <c r="I12" s="1887"/>
      <c r="J12" s="1887"/>
      <c r="K12" s="1887"/>
      <c r="L12" s="1887"/>
      <c r="M12" s="1887"/>
      <c r="N12" s="1888"/>
      <c r="O12" s="1888"/>
      <c r="P12" s="1888"/>
      <c r="Q12" s="1888"/>
      <c r="R12" s="1888"/>
      <c r="S12" s="1888"/>
      <c r="T12" s="1888"/>
    </row>
    <row r="13" spans="1:20" ht="26.1" customHeight="1" x14ac:dyDescent="0.25">
      <c r="A13" s="1910" t="s">
        <v>1088</v>
      </c>
      <c r="B13" s="1911"/>
      <c r="C13" s="1911"/>
      <c r="D13" s="1911"/>
      <c r="E13" s="1911"/>
      <c r="F13" s="1898"/>
      <c r="G13" s="1887"/>
      <c r="H13" s="1887"/>
      <c r="I13" s="1887"/>
      <c r="J13" s="1912"/>
      <c r="K13" s="1887"/>
      <c r="L13" s="1887"/>
      <c r="M13" s="1887"/>
      <c r="N13" s="1888"/>
      <c r="O13" s="1888"/>
      <c r="P13" s="1888"/>
      <c r="Q13" s="1888"/>
      <c r="R13" s="1888"/>
      <c r="S13" s="1888"/>
      <c r="T13" s="1888"/>
    </row>
    <row r="14" spans="1:20" ht="18" customHeight="1" x14ac:dyDescent="0.2">
      <c r="A14" s="1902" t="s">
        <v>1089</v>
      </c>
      <c r="B14" s="1913"/>
      <c r="C14" s="1913"/>
      <c r="D14" s="1913"/>
      <c r="E14" s="1913"/>
      <c r="F14" s="1898"/>
      <c r="G14" s="1887"/>
      <c r="H14" s="1887"/>
      <c r="I14" s="1887"/>
      <c r="J14" s="1912"/>
      <c r="K14" s="1887"/>
      <c r="L14" s="1887"/>
      <c r="M14" s="1887"/>
      <c r="N14" s="1888"/>
      <c r="O14" s="1888"/>
      <c r="P14" s="1888"/>
      <c r="Q14" s="1888"/>
      <c r="R14" s="1888"/>
      <c r="S14" s="1888"/>
      <c r="T14" s="1888"/>
    </row>
    <row r="15" spans="1:20" ht="18" customHeight="1" x14ac:dyDescent="0.2">
      <c r="A15" s="1902" t="s">
        <v>1090</v>
      </c>
      <c r="B15" s="1913"/>
      <c r="C15" s="1913"/>
      <c r="D15" s="1913"/>
      <c r="E15" s="1913"/>
      <c r="F15" s="1898"/>
      <c r="G15" s="1887"/>
      <c r="H15" s="1887"/>
      <c r="I15" s="1887"/>
      <c r="J15" s="1887"/>
      <c r="K15" s="1887"/>
      <c r="L15" s="1887"/>
      <c r="M15" s="1887"/>
      <c r="N15" s="1888"/>
      <c r="O15" s="1888"/>
      <c r="P15" s="1888"/>
      <c r="Q15" s="1888"/>
      <c r="R15" s="1888"/>
      <c r="S15" s="1888"/>
      <c r="T15" s="1888"/>
    </row>
    <row r="16" spans="1:20" ht="18" customHeight="1" x14ac:dyDescent="0.2">
      <c r="A16" s="1902" t="s">
        <v>1091</v>
      </c>
      <c r="B16" s="1913"/>
      <c r="C16" s="1913"/>
      <c r="D16" s="1913"/>
      <c r="E16" s="1913"/>
      <c r="F16" s="1898"/>
      <c r="G16" s="1887"/>
      <c r="H16" s="1887"/>
      <c r="I16" s="1914"/>
      <c r="J16" s="1887"/>
      <c r="K16" s="1887"/>
      <c r="L16" s="1887"/>
      <c r="M16" s="1887"/>
      <c r="N16" s="1888"/>
      <c r="O16" s="1888"/>
      <c r="P16" s="1888"/>
      <c r="Q16" s="1888"/>
      <c r="R16" s="1888"/>
      <c r="S16" s="1888"/>
      <c r="T16" s="1888"/>
    </row>
    <row r="17" spans="1:20" ht="18" customHeight="1" x14ac:dyDescent="0.25">
      <c r="A17" s="1896"/>
      <c r="B17" s="1896"/>
      <c r="C17" s="1896"/>
      <c r="D17" s="1896"/>
      <c r="E17" s="1896"/>
      <c r="F17" s="1898"/>
      <c r="G17" s="1887"/>
      <c r="H17" s="1887"/>
      <c r="I17" s="1914"/>
      <c r="J17" s="1887"/>
      <c r="K17" s="1887"/>
      <c r="L17" s="1887"/>
      <c r="M17" s="1887"/>
      <c r="N17" s="1888"/>
      <c r="O17" s="1888"/>
      <c r="P17" s="1888"/>
      <c r="Q17" s="1888"/>
      <c r="R17" s="1888"/>
      <c r="S17" s="1888"/>
      <c r="T17" s="1888"/>
    </row>
    <row r="18" spans="1:20" ht="18" customHeight="1" x14ac:dyDescent="0.25">
      <c r="A18" s="1896"/>
      <c r="B18" s="1915"/>
      <c r="C18" s="1916"/>
      <c r="D18" s="1917" t="s">
        <v>1092</v>
      </c>
      <c r="E18" s="1918" t="s">
        <v>1093</v>
      </c>
      <c r="F18" s="1898"/>
      <c r="G18" s="1919"/>
      <c r="H18" s="1887"/>
      <c r="I18" s="1887"/>
      <c r="J18" s="1887"/>
      <c r="K18" s="1887"/>
      <c r="L18" s="1887"/>
      <c r="M18" s="1887"/>
      <c r="N18" s="1888"/>
      <c r="O18" s="1888"/>
      <c r="P18" s="1888"/>
      <c r="Q18" s="1888"/>
      <c r="R18" s="1888"/>
      <c r="S18" s="1888"/>
      <c r="T18" s="1888"/>
    </row>
    <row r="19" spans="1:20" ht="18" customHeight="1" x14ac:dyDescent="0.25">
      <c r="A19" s="1896"/>
      <c r="B19" s="1920" t="s">
        <v>1094</v>
      </c>
      <c r="C19" s="1921"/>
      <c r="D19" s="1922">
        <f>0.96*365</f>
        <v>350.4</v>
      </c>
      <c r="E19" s="1923"/>
      <c r="F19" s="1898"/>
      <c r="G19" s="1887"/>
      <c r="H19" s="1887"/>
      <c r="I19" s="1887"/>
      <c r="J19" s="1887"/>
      <c r="K19" s="1887"/>
      <c r="L19" s="1887"/>
      <c r="M19" s="1887"/>
      <c r="N19" s="1888"/>
      <c r="O19" s="1888"/>
      <c r="P19" s="1888"/>
      <c r="Q19" s="1888"/>
      <c r="R19" s="1888"/>
      <c r="S19" s="1888"/>
      <c r="T19" s="1888"/>
    </row>
    <row r="20" spans="1:20" ht="18" customHeight="1" x14ac:dyDescent="0.25">
      <c r="A20" s="1896"/>
      <c r="B20" s="1924"/>
      <c r="C20" s="1925"/>
      <c r="D20" s="1917" t="s">
        <v>1092</v>
      </c>
      <c r="E20" s="1926" t="s">
        <v>1095</v>
      </c>
      <c r="F20" s="1898"/>
      <c r="G20" s="1887"/>
      <c r="H20" s="1927" t="s">
        <v>1096</v>
      </c>
      <c r="I20" s="1928"/>
      <c r="J20" s="1928"/>
      <c r="K20" s="1929"/>
      <c r="L20" s="1887"/>
      <c r="M20" s="1887"/>
      <c r="N20" s="1888"/>
      <c r="O20" s="1888"/>
      <c r="P20" s="1888"/>
      <c r="Q20" s="1888"/>
      <c r="R20" s="1888"/>
      <c r="S20" s="1888"/>
      <c r="T20" s="1888"/>
    </row>
    <row r="21" spans="1:20" ht="18" customHeight="1" x14ac:dyDescent="0.25">
      <c r="A21" s="1896"/>
      <c r="B21" s="1920" t="s">
        <v>1097</v>
      </c>
      <c r="C21" s="1930"/>
      <c r="D21" s="1931">
        <v>0.96</v>
      </c>
      <c r="E21" s="1923"/>
      <c r="F21" s="1898"/>
      <c r="G21" s="1932"/>
      <c r="H21" s="1933" t="s">
        <v>1098</v>
      </c>
      <c r="I21" s="1934"/>
      <c r="J21" s="1934"/>
      <c r="K21" s="1935"/>
      <c r="L21" s="1887"/>
      <c r="M21" s="1887"/>
      <c r="N21" s="1888"/>
      <c r="O21" s="1888"/>
      <c r="P21" s="1888"/>
      <c r="Q21" s="1888"/>
      <c r="R21" s="1888"/>
      <c r="S21" s="1888"/>
      <c r="T21" s="1888"/>
    </row>
    <row r="22" spans="1:20" ht="18" customHeight="1" x14ac:dyDescent="0.25">
      <c r="A22" s="1896"/>
      <c r="B22" s="1896"/>
      <c r="C22" s="1896"/>
      <c r="D22" s="1896"/>
      <c r="E22" s="1936"/>
      <c r="F22" s="1898"/>
      <c r="G22" s="1887"/>
      <c r="H22" s="1937"/>
      <c r="I22" s="1934"/>
      <c r="J22" s="1934"/>
      <c r="K22" s="1935"/>
      <c r="L22" s="1887"/>
      <c r="M22" s="1887"/>
      <c r="N22" s="1888"/>
      <c r="O22" s="1888"/>
      <c r="P22" s="1888"/>
      <c r="Q22" s="1888"/>
      <c r="R22" s="1888"/>
      <c r="S22" s="1888"/>
      <c r="T22" s="1888"/>
    </row>
    <row r="23" spans="1:20" ht="26.1" customHeight="1" x14ac:dyDescent="0.25">
      <c r="A23" s="1910" t="s">
        <v>1099</v>
      </c>
      <c r="B23" s="1938"/>
      <c r="C23" s="1938"/>
      <c r="D23" s="1938"/>
      <c r="E23" s="1938"/>
      <c r="F23" s="1898"/>
      <c r="G23" s="1887"/>
      <c r="H23" s="1939" t="s">
        <v>1100</v>
      </c>
      <c r="I23" s="1934"/>
      <c r="J23" s="1934"/>
      <c r="K23" s="1935"/>
      <c r="L23" s="1887"/>
      <c r="M23" s="1887"/>
      <c r="N23" s="1888"/>
      <c r="O23" s="1888"/>
      <c r="P23" s="1888"/>
      <c r="Q23" s="1888"/>
      <c r="R23" s="1888"/>
      <c r="S23" s="1888"/>
      <c r="T23" s="1888"/>
    </row>
    <row r="24" spans="1:20" ht="18" customHeight="1" x14ac:dyDescent="0.25">
      <c r="A24" s="1940"/>
      <c r="B24" s="1941"/>
      <c r="C24" s="1896"/>
      <c r="D24" s="1896"/>
      <c r="E24" s="1896"/>
      <c r="F24" s="1898"/>
      <c r="G24" s="1887"/>
      <c r="H24" s="1937"/>
      <c r="I24" s="1942" t="s">
        <v>1086</v>
      </c>
      <c r="J24" s="1943">
        <f>IF($E$9&gt;0,$E$9,(IF($E$19&gt;0,$E$19/1000*$E$26,$E$21/1000*365*$E$26)))</f>
        <v>146000</v>
      </c>
      <c r="K24" s="1935"/>
      <c r="L24" s="1887"/>
      <c r="M24" s="1887"/>
      <c r="N24" s="1888"/>
      <c r="O24" s="1888"/>
      <c r="P24" s="1888"/>
      <c r="Q24" s="1888"/>
      <c r="R24" s="1888"/>
      <c r="S24" s="1888"/>
      <c r="T24" s="1888"/>
    </row>
    <row r="25" spans="1:20" ht="18" customHeight="1" x14ac:dyDescent="0.25">
      <c r="A25" s="1896"/>
      <c r="B25" s="1903"/>
      <c r="C25" s="1903"/>
      <c r="D25" s="1903"/>
      <c r="E25" s="1904" t="s">
        <v>1101</v>
      </c>
      <c r="F25" s="1898"/>
      <c r="G25" s="1887"/>
      <c r="H25" s="1937"/>
      <c r="I25" s="1942" t="s">
        <v>1093</v>
      </c>
      <c r="J25" s="1944">
        <v>350</v>
      </c>
      <c r="K25" s="1935"/>
      <c r="L25" s="1887"/>
      <c r="M25" s="1887"/>
      <c r="N25" s="1888"/>
      <c r="O25" s="1888"/>
      <c r="P25" s="1888"/>
      <c r="Q25" s="1888"/>
      <c r="R25" s="1888"/>
      <c r="S25" s="1888"/>
      <c r="T25" s="1888"/>
    </row>
    <row r="26" spans="1:20" ht="18" customHeight="1" x14ac:dyDescent="0.25">
      <c r="A26" s="1896"/>
      <c r="B26" s="1905" t="s">
        <v>1102</v>
      </c>
      <c r="C26" s="1945"/>
      <c r="D26" s="1946"/>
      <c r="E26" s="1947">
        <f>'R&amp;C-Painel de Controle'!D6</f>
        <v>411597</v>
      </c>
      <c r="F26" s="1898"/>
      <c r="G26" s="1887"/>
      <c r="H26" s="1937"/>
      <c r="I26" s="1942" t="s">
        <v>1095</v>
      </c>
      <c r="J26" s="1948">
        <f>IF(E26&gt;0,J25/365,"insira o número de habitantes na célula verde")</f>
        <v>0.95890410958904104</v>
      </c>
      <c r="K26" s="1935"/>
      <c r="L26" s="1887"/>
      <c r="M26" s="1887"/>
      <c r="N26" s="1888"/>
      <c r="O26" s="1888"/>
      <c r="P26" s="1888"/>
      <c r="Q26" s="1888"/>
      <c r="R26" s="1888"/>
      <c r="S26" s="1888"/>
      <c r="T26" s="1888"/>
    </row>
    <row r="27" spans="1:20" ht="18" customHeight="1" x14ac:dyDescent="0.25">
      <c r="A27" s="1896"/>
      <c r="B27" s="1896"/>
      <c r="C27" s="1896"/>
      <c r="D27" s="1896"/>
      <c r="E27" s="1896"/>
      <c r="F27" s="1898"/>
      <c r="G27" s="1887"/>
      <c r="H27" s="1949"/>
      <c r="I27" s="1950"/>
      <c r="J27" s="1950"/>
      <c r="K27" s="1951"/>
      <c r="L27" s="1887"/>
      <c r="M27" s="1887"/>
      <c r="N27" s="1888"/>
      <c r="O27" s="1888"/>
      <c r="P27" s="1888"/>
      <c r="Q27" s="1888"/>
      <c r="R27" s="1888"/>
      <c r="S27" s="1888"/>
      <c r="T27" s="1888"/>
    </row>
    <row r="28" spans="1:20" ht="18" customHeight="1" x14ac:dyDescent="0.2">
      <c r="A28" s="1887"/>
      <c r="B28" s="1887"/>
      <c r="C28" s="1887"/>
      <c r="D28" s="1887"/>
      <c r="E28" s="1887"/>
      <c r="F28" s="1887"/>
      <c r="G28" s="1912"/>
      <c r="H28" s="1952"/>
      <c r="I28" s="1953"/>
      <c r="J28" s="1952"/>
      <c r="K28" s="1887"/>
      <c r="L28" s="1887"/>
      <c r="M28" s="1887"/>
      <c r="N28" s="1888"/>
      <c r="O28" s="1888"/>
      <c r="P28" s="1888"/>
      <c r="Q28" s="1888"/>
      <c r="R28" s="1888"/>
      <c r="S28" s="1888"/>
      <c r="T28" s="1888"/>
    </row>
    <row r="29" spans="1:20" ht="26.1" customHeight="1" x14ac:dyDescent="0.25">
      <c r="A29" s="1910" t="s">
        <v>1103</v>
      </c>
      <c r="B29" s="1954"/>
      <c r="C29" s="1954"/>
      <c r="D29" s="1954"/>
      <c r="E29" s="1954"/>
      <c r="F29" s="1887"/>
      <c r="G29" s="1887"/>
      <c r="H29" s="1887"/>
      <c r="I29" s="1932"/>
      <c r="J29" s="1887"/>
      <c r="K29" s="1887"/>
      <c r="L29" s="1887"/>
      <c r="M29" s="1887"/>
      <c r="N29" s="1888"/>
      <c r="O29" s="1888"/>
      <c r="P29" s="1888"/>
      <c r="Q29" s="1888"/>
      <c r="R29" s="1888"/>
      <c r="S29" s="1888"/>
      <c r="T29" s="1888"/>
    </row>
    <row r="30" spans="1:20" ht="14.25" x14ac:dyDescent="0.25">
      <c r="A30" s="1895" t="s">
        <v>1104</v>
      </c>
      <c r="B30" s="1955"/>
      <c r="C30" s="1955"/>
      <c r="D30" s="1955"/>
      <c r="E30" s="1955"/>
      <c r="F30" s="1887"/>
      <c r="G30" s="1909"/>
      <c r="H30" s="1887"/>
      <c r="I30" s="1956"/>
      <c r="J30" s="1887"/>
      <c r="K30" s="1887"/>
      <c r="L30" s="1887"/>
      <c r="M30" s="1887"/>
      <c r="N30" s="1888"/>
      <c r="O30" s="1888"/>
      <c r="P30" s="1888"/>
      <c r="Q30" s="1888"/>
      <c r="R30" s="1888"/>
      <c r="S30" s="1888"/>
      <c r="T30" s="1888"/>
    </row>
    <row r="31" spans="1:20" ht="18" customHeight="1" x14ac:dyDescent="0.25">
      <c r="A31" s="1895"/>
      <c r="B31" s="1896"/>
      <c r="C31" s="1896"/>
      <c r="D31" s="1955"/>
      <c r="E31" s="1955"/>
      <c r="F31" s="1887"/>
      <c r="G31" s="1909"/>
      <c r="H31" s="1887"/>
      <c r="I31" s="1956"/>
      <c r="J31" s="1887"/>
      <c r="K31" s="1887"/>
      <c r="L31" s="1887"/>
      <c r="M31" s="1887"/>
      <c r="N31" s="1888"/>
      <c r="O31" s="1888"/>
      <c r="P31" s="1888"/>
      <c r="Q31" s="1888"/>
      <c r="R31" s="1888"/>
      <c r="S31" s="1888"/>
      <c r="T31" s="1888"/>
    </row>
    <row r="32" spans="1:20" ht="18" customHeight="1" x14ac:dyDescent="0.25">
      <c r="A32" s="1895" t="s">
        <v>1105</v>
      </c>
      <c r="B32" s="1896"/>
      <c r="C32" s="1896"/>
      <c r="D32" s="1955"/>
      <c r="E32" s="1955"/>
      <c r="F32" s="1887"/>
      <c r="G32" s="1957"/>
      <c r="H32" s="1957"/>
      <c r="I32" s="1957"/>
      <c r="J32" s="1957"/>
      <c r="K32" s="1957"/>
      <c r="L32" s="1887"/>
      <c r="M32" s="1887"/>
      <c r="N32" s="1888"/>
      <c r="O32" s="1888"/>
      <c r="P32" s="1888"/>
      <c r="Q32" s="1888"/>
      <c r="R32" s="1888"/>
      <c r="S32" s="1888"/>
      <c r="T32" s="1888"/>
    </row>
    <row r="33" spans="1:20" ht="18" customHeight="1" x14ac:dyDescent="0.25">
      <c r="A33" s="1955"/>
      <c r="B33" s="1955"/>
      <c r="C33" s="1955"/>
      <c r="D33" s="1955"/>
      <c r="E33" s="1955"/>
      <c r="F33" s="1887"/>
      <c r="G33" s="1900"/>
      <c r="H33" s="1957"/>
      <c r="I33" s="1900"/>
      <c r="J33" s="1958"/>
      <c r="K33" s="1957"/>
      <c r="L33" s="1887"/>
      <c r="M33" s="1887"/>
      <c r="N33" s="1888"/>
      <c r="O33" s="1888"/>
      <c r="P33" s="1888"/>
      <c r="Q33" s="1888"/>
      <c r="R33" s="1888"/>
      <c r="S33" s="1888"/>
      <c r="T33" s="1888"/>
    </row>
    <row r="34" spans="1:20" ht="39" customHeight="1" x14ac:dyDescent="0.25">
      <c r="A34" s="1955"/>
      <c r="B34" s="1959" t="s">
        <v>16</v>
      </c>
      <c r="C34" s="1960" t="s">
        <v>1092</v>
      </c>
      <c r="D34" s="1961"/>
      <c r="E34" s="1962" t="s">
        <v>1106</v>
      </c>
      <c r="F34" s="1887"/>
      <c r="G34" s="1963"/>
      <c r="H34" s="1900"/>
      <c r="I34" s="1964"/>
      <c r="J34" s="1964"/>
      <c r="K34" s="1957"/>
      <c r="L34" s="1887"/>
      <c r="M34" s="1887"/>
      <c r="N34" s="1888"/>
      <c r="O34" s="1888"/>
      <c r="P34" s="1888"/>
      <c r="Q34" s="1888"/>
      <c r="R34" s="1888"/>
      <c r="S34" s="1888"/>
      <c r="T34" s="1888"/>
    </row>
    <row r="35" spans="1:20" ht="18" customHeight="1" x14ac:dyDescent="0.25">
      <c r="A35" s="1955"/>
      <c r="B35" s="1965" t="s">
        <v>1107</v>
      </c>
      <c r="C35" s="1966">
        <v>0.48399999999999999</v>
      </c>
      <c r="D35" s="1967"/>
      <c r="E35" s="1968">
        <f>'R-Entrada'!E26/100</f>
        <v>0.48399999999999999</v>
      </c>
      <c r="F35" s="1969"/>
      <c r="G35" s="2641"/>
      <c r="H35" s="1900"/>
      <c r="I35" s="1970"/>
      <c r="J35" s="1971"/>
      <c r="K35" s="1957"/>
      <c r="L35" s="1887"/>
      <c r="M35" s="1887"/>
      <c r="N35" s="1888"/>
      <c r="O35" s="1888"/>
      <c r="P35" s="1888"/>
      <c r="Q35" s="1888"/>
      <c r="R35" s="1888"/>
      <c r="S35" s="1888"/>
      <c r="T35" s="1888"/>
    </row>
    <row r="36" spans="1:20" ht="18" customHeight="1" x14ac:dyDescent="0.25">
      <c r="A36" s="1955"/>
      <c r="B36" s="1965" t="s">
        <v>1108</v>
      </c>
      <c r="C36" s="1966">
        <v>0.03</v>
      </c>
      <c r="D36" s="1967"/>
      <c r="E36" s="1968">
        <f>'R-Entrada'!E27/100</f>
        <v>0.03</v>
      </c>
      <c r="F36" s="1969"/>
      <c r="G36" s="2641"/>
      <c r="H36" s="1900"/>
      <c r="I36" s="1970"/>
      <c r="J36" s="1971"/>
      <c r="K36" s="1957"/>
      <c r="L36" s="1887"/>
      <c r="M36" s="1887"/>
      <c r="N36" s="1888"/>
      <c r="O36" s="1888"/>
      <c r="P36" s="1888"/>
      <c r="Q36" s="1888"/>
      <c r="R36" s="1888"/>
      <c r="S36" s="1888"/>
      <c r="T36" s="1888"/>
    </row>
    <row r="37" spans="1:20" ht="18" customHeight="1" x14ac:dyDescent="0.25">
      <c r="A37" s="1955"/>
      <c r="B37" s="1965" t="s">
        <v>1109</v>
      </c>
      <c r="C37" s="1966">
        <v>0.13100000000000001</v>
      </c>
      <c r="D37" s="1967"/>
      <c r="E37" s="1968">
        <f>'R-Entrada'!E28/100</f>
        <v>0.13100000000000001</v>
      </c>
      <c r="F37" s="1887"/>
      <c r="G37" s="2641"/>
      <c r="H37" s="1900"/>
      <c r="I37" s="1970"/>
      <c r="J37" s="1971"/>
      <c r="K37" s="1957"/>
      <c r="L37" s="1887"/>
      <c r="M37" s="1887"/>
      <c r="N37" s="1888"/>
      <c r="O37" s="1888"/>
      <c r="P37" s="1888"/>
      <c r="Q37" s="1888"/>
      <c r="R37" s="1888"/>
      <c r="S37" s="1888"/>
      <c r="T37" s="1888"/>
    </row>
    <row r="38" spans="1:20" ht="18" customHeight="1" x14ac:dyDescent="0.25">
      <c r="A38" s="1955"/>
      <c r="B38" s="1965" t="s">
        <v>1110</v>
      </c>
      <c r="C38" s="1966">
        <v>0.13500000000000001</v>
      </c>
      <c r="D38" s="1967"/>
      <c r="E38" s="1968">
        <f>('R-Entrada'!E29+'R-Entrada'!E30)/100</f>
        <v>0.13500000000000001</v>
      </c>
      <c r="F38" s="1887"/>
      <c r="G38" s="2641"/>
      <c r="H38" s="1900"/>
      <c r="I38" s="1970"/>
      <c r="J38" s="1971"/>
      <c r="K38" s="1957"/>
      <c r="L38" s="1887"/>
      <c r="M38" s="1887"/>
      <c r="N38" s="1888"/>
      <c r="O38" s="1888"/>
      <c r="P38" s="1888"/>
      <c r="Q38" s="1888"/>
      <c r="R38" s="1888"/>
      <c r="S38" s="1888"/>
      <c r="T38" s="1888"/>
    </row>
    <row r="39" spans="1:20" ht="18" customHeight="1" x14ac:dyDescent="0.25">
      <c r="A39" s="1955"/>
      <c r="B39" s="1965" t="s">
        <v>50</v>
      </c>
      <c r="C39" s="1966">
        <v>2.4E-2</v>
      </c>
      <c r="D39" s="1967"/>
      <c r="E39" s="1968">
        <f>'R-Entrada'!E31/100</f>
        <v>2.4E-2</v>
      </c>
      <c r="F39" s="1887"/>
      <c r="G39" s="2641"/>
      <c r="H39" s="1900"/>
      <c r="I39" s="1970"/>
      <c r="J39" s="1971"/>
      <c r="K39" s="1957"/>
      <c r="L39" s="1887"/>
      <c r="M39" s="1887"/>
      <c r="N39" s="1888"/>
      <c r="O39" s="1888"/>
      <c r="P39" s="1888"/>
      <c r="Q39" s="1888"/>
      <c r="R39" s="1888"/>
      <c r="S39" s="1888"/>
      <c r="T39" s="1888"/>
    </row>
    <row r="40" spans="1:20" ht="18" customHeight="1" x14ac:dyDescent="0.25">
      <c r="A40" s="1955"/>
      <c r="B40" s="1965" t="s">
        <v>1111</v>
      </c>
      <c r="C40" s="1966">
        <v>2.3E-2</v>
      </c>
      <c r="D40" s="1967"/>
      <c r="E40" s="1968">
        <f>'R-Entrada'!E32/100</f>
        <v>2.3E-2</v>
      </c>
      <c r="F40" s="1887"/>
      <c r="G40" s="2641"/>
      <c r="H40" s="1900"/>
      <c r="I40" s="1970"/>
      <c r="J40" s="1971"/>
      <c r="K40" s="1957"/>
      <c r="L40" s="1887"/>
      <c r="M40" s="1887"/>
      <c r="N40" s="1888"/>
      <c r="O40" s="1888"/>
      <c r="P40" s="1888"/>
      <c r="Q40" s="1888"/>
      <c r="R40" s="1888"/>
      <c r="S40" s="1888"/>
      <c r="T40" s="1888"/>
    </row>
    <row r="41" spans="1:20" ht="18" customHeight="1" x14ac:dyDescent="0.25">
      <c r="A41" s="1955"/>
      <c r="B41" s="1965" t="s">
        <v>1112</v>
      </c>
      <c r="C41" s="1966">
        <v>6.0000000000000001E-3</v>
      </c>
      <c r="D41" s="1967"/>
      <c r="E41" s="1968">
        <f>'R-Entrada'!E33/100</f>
        <v>6.0000000000000001E-3</v>
      </c>
      <c r="F41" s="1912"/>
      <c r="G41" s="2641"/>
      <c r="H41" s="1900"/>
      <c r="I41" s="1970"/>
      <c r="J41" s="1971"/>
      <c r="K41" s="1957"/>
      <c r="L41" s="1887"/>
      <c r="M41" s="1887"/>
      <c r="N41" s="1888"/>
      <c r="O41" s="1888"/>
      <c r="P41" s="1888"/>
      <c r="Q41" s="1888"/>
      <c r="R41" s="1888"/>
      <c r="S41" s="1888"/>
      <c r="T41" s="1888"/>
    </row>
    <row r="42" spans="1:20" ht="18" customHeight="1" x14ac:dyDescent="0.25">
      <c r="A42" s="1955"/>
      <c r="B42" s="1965" t="s">
        <v>1113</v>
      </c>
      <c r="C42" s="1966">
        <v>2.5999999999999999E-2</v>
      </c>
      <c r="D42" s="1972"/>
      <c r="E42" s="1968">
        <f>'R-Entrada'!E34/100</f>
        <v>4.4500000000000005E-2</v>
      </c>
      <c r="F42" s="1887"/>
      <c r="G42" s="2641"/>
      <c r="H42" s="1900"/>
      <c r="I42" s="1957"/>
      <c r="J42" s="1957"/>
      <c r="K42" s="1957"/>
      <c r="L42" s="1887"/>
      <c r="M42" s="1887"/>
      <c r="N42" s="1888"/>
      <c r="O42" s="1888"/>
      <c r="P42" s="1888"/>
      <c r="Q42" s="1888"/>
      <c r="R42" s="1888"/>
      <c r="S42" s="1888"/>
      <c r="T42" s="1888"/>
    </row>
    <row r="43" spans="1:20" ht="18" customHeight="1" x14ac:dyDescent="0.25">
      <c r="A43" s="1955"/>
      <c r="B43" s="1965" t="s">
        <v>1114</v>
      </c>
      <c r="C43" s="1966">
        <v>7.0000000000000001E-3</v>
      </c>
      <c r="D43" s="1972"/>
      <c r="E43" s="1968">
        <f>'R-Entrada'!E35/100</f>
        <v>9.5999999999999992E-3</v>
      </c>
      <c r="F43" s="1887"/>
      <c r="G43" s="2641"/>
      <c r="H43" s="1900"/>
      <c r="I43" s="1957"/>
      <c r="J43" s="1957"/>
      <c r="K43" s="1957"/>
      <c r="L43" s="1887"/>
      <c r="M43" s="1887"/>
      <c r="N43" s="1888"/>
      <c r="O43" s="1888"/>
      <c r="P43" s="1888"/>
      <c r="Q43" s="1888"/>
      <c r="R43" s="1888"/>
      <c r="S43" s="1888"/>
      <c r="T43" s="1888"/>
    </row>
    <row r="44" spans="1:20" ht="18" customHeight="1" x14ac:dyDescent="0.25">
      <c r="A44" s="1955"/>
      <c r="B44" s="1965" t="s">
        <v>1115</v>
      </c>
      <c r="C44" s="1973">
        <v>0.04</v>
      </c>
      <c r="D44" s="1972"/>
      <c r="E44" s="1968">
        <f>'R-Entrada'!E36/100</f>
        <v>0.04</v>
      </c>
      <c r="F44" s="1887"/>
      <c r="G44" s="2641"/>
      <c r="H44" s="1974"/>
      <c r="I44" s="1887"/>
      <c r="J44" s="1887"/>
      <c r="K44" s="1887"/>
      <c r="L44" s="1887"/>
      <c r="M44" s="1887"/>
      <c r="N44" s="1888"/>
      <c r="O44" s="1888"/>
      <c r="P44" s="1888"/>
      <c r="Q44" s="1888"/>
      <c r="R44" s="1888"/>
      <c r="S44" s="1888"/>
      <c r="T44" s="1888"/>
    </row>
    <row r="45" spans="1:20" ht="18" customHeight="1" x14ac:dyDescent="0.25">
      <c r="A45" s="1955"/>
      <c r="B45" s="1965" t="s">
        <v>1116</v>
      </c>
      <c r="C45" s="1966">
        <v>4.7E-2</v>
      </c>
      <c r="D45" s="1972"/>
      <c r="E45" s="1968">
        <f>'R-Entrada'!E37/100</f>
        <v>7.3000000000000001E-3</v>
      </c>
      <c r="F45" s="1887"/>
      <c r="G45" s="2641"/>
      <c r="H45" s="1974"/>
      <c r="I45" s="1887"/>
      <c r="J45" s="1887"/>
      <c r="K45" s="1887"/>
      <c r="L45" s="1887"/>
      <c r="M45" s="1887"/>
      <c r="N45" s="1888"/>
      <c r="O45" s="1888"/>
      <c r="P45" s="1888"/>
      <c r="Q45" s="1888"/>
      <c r="R45" s="1888"/>
      <c r="S45" s="1888"/>
      <c r="T45" s="1888"/>
    </row>
    <row r="46" spans="1:20" ht="18" customHeight="1" x14ac:dyDescent="0.25">
      <c r="A46" s="1955"/>
      <c r="B46" s="1965" t="s">
        <v>1117</v>
      </c>
      <c r="C46" s="1966">
        <v>0</v>
      </c>
      <c r="D46" s="1972"/>
      <c r="E46" s="1968">
        <f>'R-Entrada'!E38/100</f>
        <v>0</v>
      </c>
      <c r="F46" s="1887"/>
      <c r="G46" s="2641"/>
      <c r="H46" s="1974"/>
      <c r="I46" s="1887"/>
      <c r="J46" s="1887"/>
      <c r="K46" s="1887"/>
      <c r="L46" s="1887"/>
      <c r="M46" s="1887"/>
      <c r="N46" s="1888"/>
      <c r="O46" s="1888"/>
      <c r="P46" s="1888"/>
      <c r="Q46" s="1888"/>
      <c r="R46" s="1888"/>
      <c r="S46" s="1888"/>
      <c r="T46" s="1888"/>
    </row>
    <row r="47" spans="1:20" ht="18" customHeight="1" x14ac:dyDescent="0.25">
      <c r="A47" s="1975"/>
      <c r="B47" s="1965" t="s">
        <v>1118</v>
      </c>
      <c r="C47" s="1966">
        <v>4.7E-2</v>
      </c>
      <c r="D47" s="1976"/>
      <c r="E47" s="1968">
        <f>'R-Entrada'!E39/100</f>
        <v>6.5600000000000019E-2</v>
      </c>
      <c r="F47" s="1887"/>
      <c r="G47" s="2641"/>
      <c r="H47" s="1974"/>
      <c r="I47" s="1887"/>
      <c r="J47" s="1887"/>
      <c r="K47" s="1887"/>
      <c r="L47" s="1887"/>
      <c r="M47" s="1887"/>
      <c r="N47" s="1888"/>
      <c r="O47" s="1888"/>
      <c r="P47" s="1888"/>
      <c r="Q47" s="1888"/>
      <c r="R47" s="1888"/>
      <c r="S47" s="1888"/>
      <c r="T47" s="1888"/>
    </row>
    <row r="48" spans="1:20" ht="18" customHeight="1" x14ac:dyDescent="0.25">
      <c r="A48" s="1955"/>
      <c r="B48" s="1977" t="s">
        <v>42</v>
      </c>
      <c r="C48" s="1978">
        <f>SUM(C35:C47)</f>
        <v>1.0000000000000002</v>
      </c>
      <c r="D48" s="1978">
        <f>SUM(D35:D47)</f>
        <v>0</v>
      </c>
      <c r="E48" s="1979">
        <f>SUM(E35:E47)</f>
        <v>1.0000000000000002</v>
      </c>
      <c r="F48" s="1909"/>
      <c r="G48" s="1980"/>
      <c r="H48" s="1887"/>
      <c r="I48" s="1887"/>
      <c r="J48" s="1887"/>
      <c r="K48" s="1887"/>
      <c r="L48" s="1887"/>
      <c r="M48" s="1887"/>
      <c r="N48" s="1888"/>
      <c r="O48" s="1888"/>
      <c r="P48" s="1888"/>
      <c r="Q48" s="1888"/>
      <c r="R48" s="1888"/>
      <c r="S48" s="1888"/>
      <c r="T48" s="1888"/>
    </row>
    <row r="49" spans="1:20" x14ac:dyDescent="0.2">
      <c r="A49" s="1887"/>
      <c r="B49" s="1887"/>
      <c r="C49" s="1981"/>
      <c r="D49" s="1981"/>
      <c r="E49" s="1887"/>
      <c r="F49" s="1887"/>
      <c r="G49" s="1887"/>
      <c r="H49" s="1887"/>
      <c r="I49" s="1887"/>
      <c r="J49" s="1887"/>
      <c r="K49" s="1887"/>
      <c r="L49" s="1887"/>
      <c r="M49" s="1887"/>
      <c r="N49" s="1982"/>
      <c r="O49" s="1888"/>
      <c r="P49" s="1888"/>
      <c r="Q49" s="1888"/>
      <c r="R49" s="1888"/>
      <c r="S49" s="1888"/>
      <c r="T49" s="1888"/>
    </row>
    <row r="50" spans="1:20" ht="26.1" customHeight="1" x14ac:dyDescent="0.2">
      <c r="A50" s="1910" t="s">
        <v>1119</v>
      </c>
      <c r="B50" s="1983"/>
      <c r="C50" s="1984"/>
      <c r="D50" s="1984"/>
      <c r="E50" s="1983"/>
      <c r="F50" s="1983"/>
      <c r="G50" s="1983"/>
      <c r="H50" s="1983"/>
      <c r="I50" s="1887"/>
      <c r="J50" s="1887"/>
      <c r="K50" s="1887"/>
      <c r="L50" s="1887"/>
      <c r="M50" s="1887"/>
      <c r="N50" s="1888"/>
      <c r="O50" s="1888"/>
      <c r="P50" s="1888"/>
      <c r="Q50" s="1888"/>
      <c r="R50" s="1888"/>
      <c r="S50" s="1888"/>
      <c r="T50" s="1888"/>
    </row>
    <row r="51" spans="1:20" ht="18" customHeight="1" x14ac:dyDescent="0.2">
      <c r="A51" s="1902" t="s">
        <v>1120</v>
      </c>
      <c r="B51" s="1913"/>
      <c r="C51" s="1913"/>
      <c r="D51" s="1913"/>
      <c r="E51" s="1913"/>
      <c r="F51" s="1913"/>
      <c r="G51" s="1898"/>
      <c r="H51" s="1898"/>
      <c r="I51" s="1898"/>
      <c r="J51" s="1898"/>
      <c r="K51" s="1898"/>
      <c r="L51" s="1898"/>
      <c r="M51" s="1887"/>
      <c r="N51" s="1888"/>
      <c r="O51" s="1888"/>
      <c r="P51" s="1888"/>
      <c r="Q51" s="1888"/>
      <c r="R51" s="1888"/>
      <c r="S51" s="1888"/>
      <c r="T51" s="1888"/>
    </row>
    <row r="52" spans="1:20" ht="18" customHeight="1" x14ac:dyDescent="0.2">
      <c r="A52" s="1985"/>
      <c r="B52" s="1913"/>
      <c r="C52" s="1913"/>
      <c r="D52" s="1913"/>
      <c r="E52" s="1913"/>
      <c r="F52" s="1913"/>
      <c r="G52" s="1898"/>
      <c r="H52" s="1898"/>
      <c r="I52" s="1898"/>
      <c r="J52" s="1898"/>
      <c r="K52" s="1898"/>
      <c r="L52" s="1898"/>
      <c r="M52" s="1887"/>
      <c r="N52" s="1888"/>
      <c r="O52" s="1888"/>
      <c r="P52" s="1888"/>
      <c r="Q52" s="1888"/>
      <c r="R52" s="1888"/>
      <c r="S52" s="1888"/>
      <c r="T52" s="1888"/>
    </row>
    <row r="53" spans="1:20" ht="18" customHeight="1" x14ac:dyDescent="0.2">
      <c r="A53" s="1902" t="s">
        <v>1121</v>
      </c>
      <c r="B53" s="1913"/>
      <c r="C53" s="1913"/>
      <c r="D53" s="1913"/>
      <c r="E53" s="1913"/>
      <c r="F53" s="1913"/>
      <c r="G53" s="1898"/>
      <c r="H53" s="1898"/>
      <c r="I53" s="1898"/>
      <c r="J53" s="1898"/>
      <c r="K53" s="1898"/>
      <c r="L53" s="1898"/>
      <c r="M53" s="1986"/>
      <c r="N53" s="1888"/>
      <c r="O53" s="1888"/>
      <c r="P53" s="1888"/>
      <c r="Q53" s="1888"/>
      <c r="R53" s="1888"/>
      <c r="S53" s="1888"/>
      <c r="T53" s="1888"/>
    </row>
    <row r="54" spans="1:20" ht="18" customHeight="1" x14ac:dyDescent="0.2">
      <c r="A54" s="1913"/>
      <c r="B54" s="1987" t="s">
        <v>1122</v>
      </c>
      <c r="C54" s="1988"/>
      <c r="D54" s="1988"/>
      <c r="E54" s="1989"/>
      <c r="F54" s="1913"/>
      <c r="G54" s="1898"/>
      <c r="H54" s="1898"/>
      <c r="I54" s="1898"/>
      <c r="J54" s="1898"/>
      <c r="K54" s="1898"/>
      <c r="L54" s="1898"/>
      <c r="M54" s="1887"/>
      <c r="N54" s="1888"/>
      <c r="O54" s="1888"/>
      <c r="P54" s="1888"/>
      <c r="Q54" s="1888"/>
      <c r="R54" s="1888"/>
      <c r="S54" s="1888"/>
      <c r="T54" s="1888"/>
    </row>
    <row r="55" spans="1:20" ht="18" customHeight="1" x14ac:dyDescent="0.2">
      <c r="A55" s="1913"/>
      <c r="B55" s="1990" t="s">
        <v>1123</v>
      </c>
      <c r="C55" s="1906"/>
      <c r="D55" s="1907"/>
      <c r="E55" s="1991">
        <v>0</v>
      </c>
      <c r="F55" s="1913"/>
      <c r="G55" s="1898"/>
      <c r="H55" s="1898"/>
      <c r="I55" s="1898"/>
      <c r="J55" s="1898"/>
      <c r="K55" s="1898"/>
      <c r="L55" s="1898"/>
      <c r="M55" s="1887"/>
      <c r="N55" s="1888"/>
      <c r="O55" s="1888"/>
      <c r="P55" s="1888"/>
      <c r="Q55" s="1888"/>
      <c r="R55" s="1888"/>
      <c r="S55" s="1888"/>
      <c r="T55" s="1888"/>
    </row>
    <row r="56" spans="1:20" ht="18" customHeight="1" x14ac:dyDescent="0.2">
      <c r="A56" s="1913"/>
      <c r="B56" s="1990" t="s">
        <v>1124</v>
      </c>
      <c r="C56" s="1906"/>
      <c r="D56" s="1907"/>
      <c r="E56" s="1991">
        <v>1</v>
      </c>
      <c r="F56" s="1913"/>
      <c r="G56" s="1898"/>
      <c r="H56" s="1898"/>
      <c r="I56" s="1898"/>
      <c r="J56" s="1898"/>
      <c r="K56" s="1898"/>
      <c r="L56" s="1898"/>
      <c r="M56" s="1887"/>
      <c r="N56" s="1888"/>
      <c r="O56" s="1888"/>
      <c r="P56" s="1888"/>
      <c r="Q56" s="1888"/>
      <c r="R56" s="1888"/>
      <c r="S56" s="1888"/>
      <c r="T56" s="1888"/>
    </row>
    <row r="57" spans="1:20" ht="18" customHeight="1" x14ac:dyDescent="0.25">
      <c r="A57" s="1896"/>
      <c r="B57" s="1896"/>
      <c r="C57" s="1896"/>
      <c r="D57" s="1896"/>
      <c r="E57" s="1896"/>
      <c r="F57" s="1896"/>
      <c r="G57" s="1898"/>
      <c r="H57" s="1992" t="s">
        <v>1096</v>
      </c>
      <c r="I57" s="1993"/>
      <c r="J57" s="1993"/>
      <c r="K57" s="1993"/>
      <c r="L57" s="1994"/>
      <c r="M57" s="1887"/>
      <c r="N57" s="1888"/>
      <c r="O57" s="1888"/>
      <c r="P57" s="1888"/>
      <c r="Q57" s="1888"/>
      <c r="R57" s="1888"/>
      <c r="S57" s="1888"/>
      <c r="T57" s="1888"/>
    </row>
    <row r="58" spans="1:20" ht="18" customHeight="1" x14ac:dyDescent="0.25">
      <c r="A58" s="1896"/>
      <c r="B58" s="1896"/>
      <c r="C58" s="1896"/>
      <c r="D58" s="1896"/>
      <c r="E58" s="1896"/>
      <c r="F58" s="1896"/>
      <c r="G58" s="1898"/>
      <c r="H58" s="1995" t="s">
        <v>1125</v>
      </c>
      <c r="I58" s="1996"/>
      <c r="J58" s="1996"/>
      <c r="K58" s="1996"/>
      <c r="L58" s="1997"/>
      <c r="M58" s="1887"/>
      <c r="N58" s="1888"/>
      <c r="O58" s="1888"/>
      <c r="P58" s="1888"/>
      <c r="Q58" s="1888"/>
      <c r="R58" s="1888"/>
      <c r="S58" s="1888"/>
      <c r="T58" s="1888"/>
    </row>
    <row r="59" spans="1:20" ht="26.1" customHeight="1" x14ac:dyDescent="0.25">
      <c r="A59" s="1998" t="s">
        <v>1126</v>
      </c>
      <c r="B59" s="1999"/>
      <c r="C59" s="1999"/>
      <c r="D59" s="1999"/>
      <c r="E59" s="1999"/>
      <c r="F59" s="1896"/>
      <c r="G59" s="1898"/>
      <c r="H59" s="2000" t="s">
        <v>1127</v>
      </c>
      <c r="I59" s="1996"/>
      <c r="J59" s="1996"/>
      <c r="K59" s="1996"/>
      <c r="L59" s="1997"/>
      <c r="M59" s="1887"/>
      <c r="N59" s="1888"/>
      <c r="O59" s="1888"/>
      <c r="P59" s="1888"/>
      <c r="Q59" s="1888"/>
      <c r="R59" s="1888"/>
      <c r="S59" s="1888"/>
      <c r="T59" s="1888"/>
    </row>
    <row r="60" spans="1:20" ht="18" customHeight="1" x14ac:dyDescent="0.25">
      <c r="A60" s="1902" t="s">
        <v>1128</v>
      </c>
      <c r="B60" s="1913"/>
      <c r="C60" s="1913"/>
      <c r="D60" s="1913"/>
      <c r="E60" s="1913"/>
      <c r="F60" s="1896"/>
      <c r="G60" s="1898"/>
      <c r="H60" s="2001"/>
      <c r="I60" s="1996"/>
      <c r="J60" s="1996"/>
      <c r="K60" s="1996"/>
      <c r="L60" s="1997"/>
      <c r="M60" s="1887"/>
      <c r="N60" s="1888"/>
      <c r="O60" s="1888"/>
      <c r="P60" s="1888"/>
      <c r="Q60" s="1888"/>
      <c r="R60" s="1888"/>
      <c r="S60" s="1888"/>
      <c r="T60" s="1888"/>
    </row>
    <row r="61" spans="1:20" ht="18" customHeight="1" x14ac:dyDescent="0.25">
      <c r="A61" s="1902"/>
      <c r="B61" s="1913"/>
      <c r="C61" s="1913"/>
      <c r="D61" s="1913"/>
      <c r="E61" s="1913"/>
      <c r="F61" s="1896"/>
      <c r="G61" s="1898"/>
      <c r="H61" s="2002" t="s">
        <v>1129</v>
      </c>
      <c r="I61" s="1996"/>
      <c r="J61" s="1996"/>
      <c r="K61" s="1996"/>
      <c r="L61" s="1997"/>
      <c r="M61" s="1887"/>
      <c r="N61" s="1888"/>
      <c r="O61" s="1888"/>
      <c r="P61" s="1888"/>
      <c r="Q61" s="1888"/>
      <c r="R61" s="1888"/>
      <c r="S61" s="1888"/>
      <c r="T61" s="1888"/>
    </row>
    <row r="62" spans="1:20" ht="18" customHeight="1" x14ac:dyDescent="0.25">
      <c r="A62" s="1902" t="s">
        <v>1130</v>
      </c>
      <c r="B62" s="1913"/>
      <c r="C62" s="1913"/>
      <c r="D62" s="1913"/>
      <c r="E62" s="1913"/>
      <c r="F62" s="1896"/>
      <c r="G62" s="1898"/>
      <c r="H62" s="1995" t="s">
        <v>1131</v>
      </c>
      <c r="I62" s="1996"/>
      <c r="J62" s="2003" t="s">
        <v>1132</v>
      </c>
      <c r="K62" s="2004">
        <f>IF((E55+E56)=1,'CO2 - Cálculos'!C67+'CO2 - Cálculos'!C68,"errado")</f>
        <v>8.5983600000000013</v>
      </c>
      <c r="L62" s="1997"/>
      <c r="M62" s="1887"/>
      <c r="N62" s="1888"/>
      <c r="O62" s="1888"/>
      <c r="P62" s="1888"/>
      <c r="Q62" s="1888"/>
      <c r="R62" s="1888"/>
      <c r="S62" s="1888"/>
      <c r="T62" s="1888"/>
    </row>
    <row r="63" spans="1:20" ht="18" customHeight="1" x14ac:dyDescent="0.25">
      <c r="A63" s="1902"/>
      <c r="B63" s="1913"/>
      <c r="C63" s="1913"/>
      <c r="D63" s="1913"/>
      <c r="E63" s="1913"/>
      <c r="F63" s="1896"/>
      <c r="G63" s="1898"/>
      <c r="H63" s="1995" t="s">
        <v>1133</v>
      </c>
      <c r="I63" s="1996"/>
      <c r="J63" s="2003" t="s">
        <v>1106</v>
      </c>
      <c r="K63" s="2005">
        <f>+'CO2 - Cálculos'!C62</f>
        <v>0.27421050000000002</v>
      </c>
      <c r="L63" s="1997"/>
      <c r="M63" s="1887"/>
      <c r="N63" s="1888"/>
      <c r="O63" s="1888"/>
      <c r="P63" s="1888"/>
      <c r="Q63" s="1888"/>
      <c r="R63" s="1888"/>
      <c r="S63" s="1888"/>
      <c r="T63" s="1888"/>
    </row>
    <row r="64" spans="1:20" ht="18" customHeight="1" x14ac:dyDescent="0.25">
      <c r="A64" s="1902"/>
      <c r="B64" s="1913"/>
      <c r="C64" s="1913"/>
      <c r="D64" s="1913"/>
      <c r="E64" s="1913"/>
      <c r="F64" s="1896"/>
      <c r="G64" s="1898"/>
      <c r="H64" s="1995" t="s">
        <v>1134</v>
      </c>
      <c r="I64" s="1996"/>
      <c r="J64" s="2003" t="s">
        <v>1106</v>
      </c>
      <c r="K64" s="2005">
        <f>+'CO2 - Cálculos'!C63</f>
        <v>0.10932450000000002</v>
      </c>
      <c r="L64" s="1997"/>
      <c r="M64" s="1887"/>
      <c r="N64" s="1888"/>
      <c r="O64" s="1888"/>
      <c r="P64" s="1888"/>
      <c r="Q64" s="1888"/>
      <c r="R64" s="1888"/>
      <c r="S64" s="1888"/>
      <c r="T64" s="1888"/>
    </row>
    <row r="65" spans="1:20" ht="18" customHeight="1" x14ac:dyDescent="0.25">
      <c r="A65" s="2006"/>
      <c r="B65" s="1913"/>
      <c r="C65" s="1913"/>
      <c r="D65" s="1913"/>
      <c r="E65" s="1913"/>
      <c r="F65" s="1896"/>
      <c r="G65" s="1898"/>
      <c r="H65" s="1995" t="s">
        <v>1135</v>
      </c>
      <c r="I65" s="1996"/>
      <c r="J65" s="2003" t="s">
        <v>1106</v>
      </c>
      <c r="K65" s="2005">
        <f>+'CO2 - Cálculos'!C64</f>
        <v>0.164886</v>
      </c>
      <c r="L65" s="1997"/>
      <c r="M65" s="1887"/>
      <c r="N65" s="1888"/>
      <c r="O65" s="1888"/>
      <c r="P65" s="1888"/>
      <c r="Q65" s="1888"/>
      <c r="R65" s="1888"/>
      <c r="S65" s="1888"/>
      <c r="T65" s="1888"/>
    </row>
    <row r="66" spans="1:20" ht="18" customHeight="1" x14ac:dyDescent="0.25">
      <c r="A66" s="1913"/>
      <c r="B66" s="1959" t="s">
        <v>1136</v>
      </c>
      <c r="C66" s="1959" t="s">
        <v>1137</v>
      </c>
      <c r="D66" s="2007"/>
      <c r="E66" s="1959" t="s">
        <v>1138</v>
      </c>
      <c r="F66" s="1896"/>
      <c r="G66" s="1898"/>
      <c r="H66" s="2008"/>
      <c r="I66" s="2009"/>
      <c r="J66" s="2009"/>
      <c r="K66" s="2009"/>
      <c r="L66" s="2010"/>
      <c r="M66" s="1887"/>
      <c r="N66" s="1888"/>
      <c r="O66" s="1888"/>
      <c r="P66" s="1888"/>
      <c r="Q66" s="1888"/>
      <c r="R66" s="1888"/>
      <c r="S66" s="1888"/>
      <c r="T66" s="1888"/>
    </row>
    <row r="67" spans="1:20" ht="18" customHeight="1" x14ac:dyDescent="0.25">
      <c r="A67" s="1913"/>
      <c r="B67" s="1965" t="s">
        <v>1139</v>
      </c>
      <c r="C67" s="2011">
        <v>93</v>
      </c>
      <c r="D67" s="2011" t="s">
        <v>1138</v>
      </c>
      <c r="E67" s="1923">
        <v>75.900000000000006</v>
      </c>
      <c r="F67" s="1896" t="s">
        <v>1140</v>
      </c>
      <c r="G67" s="1898"/>
      <c r="H67" s="1898"/>
      <c r="I67" s="1898"/>
      <c r="J67" s="1898"/>
      <c r="K67" s="1898"/>
      <c r="L67" s="1898"/>
      <c r="M67" s="1887"/>
      <c r="N67" s="1888"/>
      <c r="O67" s="1888"/>
      <c r="P67" s="1888"/>
      <c r="Q67" s="1888"/>
      <c r="R67" s="1888"/>
      <c r="S67" s="1888"/>
      <c r="T67" s="1888"/>
    </row>
    <row r="68" spans="1:20" ht="18" customHeight="1" x14ac:dyDescent="0.2">
      <c r="A68" s="1898"/>
      <c r="B68" s="1898"/>
      <c r="C68" s="1898"/>
      <c r="D68" s="1898"/>
      <c r="E68" s="1898"/>
      <c r="F68" s="1898"/>
      <c r="G68" s="1898"/>
      <c r="H68" s="1898"/>
      <c r="I68" s="1898"/>
      <c r="J68" s="1898"/>
      <c r="K68" s="1898"/>
      <c r="L68" s="1898"/>
      <c r="M68" s="1887"/>
      <c r="N68" s="1888"/>
      <c r="O68" s="1888"/>
      <c r="P68" s="1888"/>
      <c r="Q68" s="1888"/>
      <c r="R68" s="1888"/>
      <c r="S68" s="1888"/>
      <c r="T68" s="1888"/>
    </row>
    <row r="69" spans="1:20" x14ac:dyDescent="0.2">
      <c r="A69" s="1898"/>
      <c r="B69" s="1898"/>
      <c r="C69" s="1898"/>
      <c r="D69" s="1898"/>
      <c r="E69" s="1898"/>
      <c r="F69" s="1898"/>
      <c r="G69" s="1898"/>
      <c r="H69" s="1898"/>
      <c r="I69" s="1898"/>
      <c r="J69" s="1898"/>
      <c r="K69" s="1898"/>
      <c r="L69" s="1898"/>
      <c r="M69" s="1887"/>
      <c r="N69" s="1888"/>
      <c r="O69" s="1888"/>
      <c r="P69" s="1888"/>
      <c r="Q69" s="1888"/>
      <c r="R69" s="1888"/>
      <c r="S69" s="1888"/>
      <c r="T69" s="1888"/>
    </row>
    <row r="70" spans="1:20" x14ac:dyDescent="0.2">
      <c r="A70" s="1887"/>
      <c r="B70" s="1887"/>
      <c r="C70" s="1887"/>
      <c r="D70" s="1887"/>
      <c r="E70" s="1887"/>
      <c r="F70" s="1887"/>
      <c r="G70" s="1887"/>
      <c r="H70" s="1887"/>
      <c r="I70" s="1887"/>
      <c r="J70" s="1887"/>
      <c r="K70" s="1887"/>
      <c r="L70" s="1887"/>
      <c r="M70" s="1887"/>
      <c r="N70" s="1888"/>
      <c r="O70" s="1888"/>
      <c r="P70" s="1888"/>
      <c r="Q70" s="1888"/>
      <c r="R70" s="1888"/>
      <c r="S70" s="1888"/>
      <c r="T70" s="1888"/>
    </row>
    <row r="71" spans="1:20" x14ac:dyDescent="0.2">
      <c r="A71" s="1888"/>
      <c r="B71" s="1888"/>
      <c r="C71" s="1888"/>
      <c r="D71" s="1888"/>
      <c r="E71" s="1888"/>
      <c r="F71" s="1888"/>
      <c r="G71" s="1888"/>
      <c r="H71" s="1888"/>
      <c r="I71" s="1888"/>
      <c r="J71" s="1888"/>
      <c r="K71" s="1888"/>
      <c r="L71" s="1888"/>
      <c r="M71" s="1888"/>
      <c r="N71" s="1888"/>
      <c r="O71" s="1888"/>
      <c r="P71" s="1888"/>
      <c r="Q71" s="1888"/>
      <c r="R71" s="1888"/>
      <c r="S71" s="1888"/>
      <c r="T71" s="1888"/>
    </row>
    <row r="72" spans="1:20" x14ac:dyDescent="0.2">
      <c r="A72" s="1888"/>
      <c r="B72" s="1888"/>
      <c r="C72" s="1888"/>
      <c r="D72" s="1888"/>
      <c r="E72" s="1888"/>
      <c r="F72" s="1888"/>
      <c r="G72" s="1888"/>
      <c r="H72" s="1888"/>
      <c r="I72" s="1888"/>
      <c r="J72" s="1888"/>
      <c r="K72" s="1888"/>
      <c r="L72" s="1888"/>
      <c r="M72" s="1888"/>
      <c r="N72" s="1888"/>
      <c r="O72" s="1888"/>
      <c r="P72" s="1888"/>
      <c r="Q72" s="1888"/>
      <c r="R72" s="1888"/>
      <c r="S72" s="1888"/>
      <c r="T72" s="1888"/>
    </row>
    <row r="73" spans="1:20" x14ac:dyDescent="0.2">
      <c r="A73" s="1888"/>
      <c r="B73" s="1888"/>
      <c r="C73" s="1888"/>
      <c r="D73" s="1888"/>
      <c r="E73" s="1888"/>
      <c r="F73" s="1888"/>
      <c r="G73" s="1888"/>
      <c r="H73" s="1888"/>
      <c r="I73" s="1888"/>
      <c r="J73" s="1888"/>
      <c r="K73" s="1888"/>
      <c r="L73" s="1888"/>
      <c r="M73" s="1888"/>
      <c r="N73" s="1888"/>
      <c r="O73" s="1888"/>
      <c r="P73" s="1888"/>
      <c r="Q73" s="1888"/>
      <c r="R73" s="1888"/>
      <c r="S73" s="1888"/>
      <c r="T73" s="1888"/>
    </row>
    <row r="74" spans="1:20" x14ac:dyDescent="0.2">
      <c r="A74" s="1888"/>
      <c r="B74" s="1888"/>
      <c r="C74" s="1888"/>
      <c r="D74" s="1888"/>
      <c r="E74" s="1888"/>
      <c r="F74" s="1888"/>
      <c r="G74" s="1888"/>
      <c r="H74" s="1888"/>
      <c r="I74" s="1888"/>
      <c r="J74" s="1888"/>
      <c r="K74" s="1888"/>
      <c r="L74" s="1888"/>
      <c r="M74" s="1888"/>
      <c r="N74" s="1888"/>
      <c r="O74" s="1888"/>
      <c r="P74" s="1888"/>
      <c r="Q74" s="1888"/>
      <c r="R74" s="1888"/>
      <c r="S74" s="1888"/>
      <c r="T74" s="1888"/>
    </row>
    <row r="75" spans="1:20" x14ac:dyDescent="0.2">
      <c r="A75" s="1888"/>
      <c r="B75" s="1888"/>
      <c r="C75" s="1888"/>
      <c r="D75" s="1888"/>
      <c r="E75" s="1888"/>
      <c r="F75" s="1888"/>
      <c r="G75" s="1888"/>
      <c r="H75" s="1888"/>
      <c r="I75" s="1888"/>
      <c r="J75" s="1888"/>
      <c r="K75" s="1888"/>
      <c r="L75" s="1888"/>
      <c r="M75" s="1888"/>
      <c r="N75" s="1888"/>
      <c r="O75" s="1888"/>
      <c r="P75" s="1888"/>
      <c r="Q75" s="1888"/>
      <c r="R75" s="1888"/>
      <c r="S75" s="1888"/>
      <c r="T75" s="1888"/>
    </row>
    <row r="76" spans="1:20" x14ac:dyDescent="0.2">
      <c r="A76" s="1888"/>
      <c r="B76" s="1888"/>
      <c r="C76" s="1888"/>
      <c r="D76" s="1888"/>
      <c r="E76" s="1888"/>
      <c r="F76" s="1888"/>
      <c r="G76" s="1888"/>
      <c r="H76" s="1888"/>
      <c r="I76" s="1888"/>
      <c r="J76" s="1888"/>
      <c r="K76" s="1888"/>
      <c r="L76" s="1888"/>
      <c r="M76" s="1888"/>
      <c r="N76" s="1888"/>
      <c r="O76" s="1888"/>
      <c r="P76" s="1888"/>
      <c r="Q76" s="1888"/>
      <c r="R76" s="1888"/>
      <c r="S76" s="1888"/>
      <c r="T76" s="1888"/>
    </row>
    <row r="77" spans="1:20" x14ac:dyDescent="0.2">
      <c r="A77" s="1888"/>
      <c r="B77" s="1888"/>
      <c r="C77" s="1888"/>
      <c r="D77" s="1888"/>
      <c r="E77" s="1888"/>
      <c r="F77" s="1888"/>
      <c r="G77" s="1888"/>
      <c r="H77" s="1888"/>
      <c r="I77" s="1888"/>
      <c r="J77" s="1888"/>
      <c r="K77" s="1888"/>
      <c r="L77" s="1888"/>
      <c r="M77" s="1888"/>
      <c r="N77" s="1888"/>
      <c r="O77" s="1888"/>
      <c r="P77" s="1888"/>
      <c r="Q77" s="1888"/>
      <c r="R77" s="1888"/>
      <c r="S77" s="1888"/>
      <c r="T77" s="1888"/>
    </row>
    <row r="78" spans="1:20" x14ac:dyDescent="0.2">
      <c r="A78" s="1888"/>
      <c r="B78" s="1888"/>
      <c r="C78" s="1888"/>
      <c r="D78" s="1888"/>
      <c r="E78" s="1888"/>
      <c r="F78" s="1888"/>
      <c r="G78" s="1888"/>
      <c r="H78" s="1888"/>
      <c r="I78" s="1888"/>
      <c r="J78" s="1888"/>
      <c r="K78" s="1888"/>
      <c r="L78" s="1888"/>
      <c r="M78" s="1888"/>
      <c r="N78" s="1888"/>
      <c r="O78" s="1888"/>
      <c r="P78" s="1888"/>
      <c r="Q78" s="1888"/>
      <c r="R78" s="1888"/>
      <c r="S78" s="1888"/>
      <c r="T78" s="1888"/>
    </row>
    <row r="79" spans="1:20" x14ac:dyDescent="0.2">
      <c r="A79" s="1888"/>
      <c r="B79" s="1888"/>
      <c r="C79" s="1888"/>
      <c r="D79" s="1888"/>
      <c r="E79" s="1888"/>
      <c r="F79" s="1888"/>
      <c r="G79" s="1888"/>
      <c r="H79" s="1888"/>
      <c r="I79" s="1888"/>
      <c r="J79" s="1888"/>
      <c r="K79" s="1888"/>
      <c r="L79" s="1888"/>
      <c r="M79" s="1888"/>
      <c r="N79" s="1888"/>
      <c r="O79" s="1888"/>
      <c r="P79" s="1888"/>
      <c r="Q79" s="1888"/>
      <c r="R79" s="1888"/>
      <c r="S79" s="1888"/>
      <c r="T79" s="1888"/>
    </row>
    <row r="80" spans="1:20" x14ac:dyDescent="0.2">
      <c r="A80" s="1888"/>
      <c r="B80" s="1888"/>
      <c r="C80" s="1888"/>
      <c r="D80" s="1888"/>
      <c r="E80" s="1888"/>
      <c r="F80" s="1888"/>
      <c r="G80" s="1888"/>
      <c r="H80" s="1888"/>
      <c r="I80" s="1888"/>
      <c r="J80" s="1888"/>
      <c r="K80" s="1888"/>
      <c r="L80" s="1888"/>
      <c r="M80" s="1888"/>
      <c r="N80" s="1888"/>
      <c r="O80" s="1888"/>
      <c r="P80" s="1888"/>
      <c r="Q80" s="1888"/>
      <c r="R80" s="1888"/>
      <c r="S80" s="1888"/>
      <c r="T80" s="1888"/>
    </row>
    <row r="81" spans="1:20" x14ac:dyDescent="0.2">
      <c r="A81" s="1888"/>
      <c r="B81" s="1888"/>
      <c r="C81" s="1888"/>
      <c r="D81" s="1888"/>
      <c r="E81" s="1888"/>
      <c r="F81" s="1888"/>
      <c r="G81" s="1888"/>
      <c r="H81" s="1888"/>
      <c r="I81" s="1888"/>
      <c r="J81" s="1888"/>
      <c r="K81" s="1888"/>
      <c r="L81" s="1888"/>
      <c r="M81" s="1888"/>
      <c r="N81" s="1888"/>
      <c r="O81" s="1888"/>
      <c r="P81" s="1888"/>
      <c r="Q81" s="1888"/>
      <c r="R81" s="1888"/>
      <c r="S81" s="1888"/>
      <c r="T81" s="1888"/>
    </row>
    <row r="82" spans="1:20" x14ac:dyDescent="0.2">
      <c r="A82" s="1888"/>
      <c r="B82" s="1888"/>
      <c r="C82" s="1888"/>
      <c r="D82" s="1888"/>
      <c r="E82" s="1888"/>
      <c r="F82" s="1888"/>
      <c r="G82" s="1888"/>
      <c r="H82" s="1888"/>
      <c r="I82" s="1888"/>
      <c r="J82" s="1888"/>
      <c r="K82" s="1888"/>
      <c r="L82" s="1888"/>
      <c r="M82" s="1888"/>
      <c r="N82" s="1888"/>
      <c r="O82" s="1888"/>
      <c r="P82" s="1888"/>
      <c r="Q82" s="1888"/>
      <c r="R82" s="1888"/>
      <c r="S82" s="1888"/>
      <c r="T82" s="1888"/>
    </row>
    <row r="83" spans="1:20" x14ac:dyDescent="0.2">
      <c r="A83" s="1888"/>
      <c r="B83" s="1888"/>
      <c r="C83" s="1888"/>
      <c r="D83" s="1888"/>
      <c r="E83" s="1888"/>
      <c r="F83" s="1888"/>
      <c r="G83" s="1888"/>
      <c r="H83" s="1888"/>
      <c r="I83" s="1888"/>
      <c r="J83" s="1888"/>
      <c r="K83" s="1888"/>
      <c r="L83" s="1888"/>
      <c r="M83" s="1888"/>
      <c r="N83" s="1888"/>
      <c r="O83" s="1888"/>
      <c r="P83" s="1888"/>
      <c r="Q83" s="1888"/>
      <c r="R83" s="1888"/>
      <c r="S83" s="1888"/>
      <c r="T83" s="1888"/>
    </row>
    <row r="84" spans="1:20" x14ac:dyDescent="0.2">
      <c r="A84" s="1888"/>
      <c r="B84" s="1888"/>
      <c r="C84" s="1888"/>
      <c r="D84" s="1888"/>
      <c r="E84" s="1888"/>
      <c r="F84" s="1888"/>
      <c r="G84" s="1888"/>
      <c r="H84" s="1888"/>
      <c r="I84" s="1888"/>
      <c r="J84" s="1888"/>
      <c r="K84" s="1888"/>
      <c r="L84" s="1888"/>
      <c r="M84" s="1888"/>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row r="122" spans="1:20" x14ac:dyDescent="0.2">
      <c r="A122" s="1888"/>
      <c r="B122" s="1888"/>
      <c r="C122" s="1888"/>
      <c r="D122" s="1888"/>
      <c r="E122" s="1888"/>
      <c r="F122" s="1888"/>
      <c r="G122" s="1888"/>
      <c r="H122" s="1888"/>
      <c r="I122" s="1888"/>
      <c r="J122" s="1888"/>
      <c r="K122" s="1888"/>
      <c r="L122" s="1888"/>
      <c r="M122" s="1888"/>
      <c r="N122" s="1888"/>
      <c r="O122" s="1888"/>
      <c r="P122" s="1888"/>
      <c r="Q122" s="1888"/>
      <c r="R122" s="1888"/>
      <c r="S122" s="1888"/>
      <c r="T122" s="1888"/>
    </row>
    <row r="123" spans="1:20" x14ac:dyDescent="0.2">
      <c r="A123" s="1888"/>
      <c r="B123" s="1888"/>
      <c r="C123" s="1888"/>
      <c r="D123" s="1888"/>
      <c r="E123" s="1888"/>
      <c r="F123" s="1888"/>
      <c r="G123" s="1888"/>
      <c r="H123" s="1888"/>
      <c r="I123" s="1888"/>
      <c r="J123" s="1888"/>
      <c r="K123" s="1888"/>
      <c r="L123" s="1888"/>
      <c r="M123" s="1888"/>
      <c r="N123" s="1888"/>
      <c r="O123" s="1888"/>
      <c r="P123" s="1888"/>
      <c r="Q123" s="1888"/>
      <c r="R123" s="1888"/>
      <c r="S123" s="1888"/>
      <c r="T123" s="1888"/>
    </row>
    <row r="124" spans="1:20" x14ac:dyDescent="0.2">
      <c r="A124" s="1888"/>
      <c r="B124" s="1888"/>
      <c r="C124" s="1888"/>
      <c r="D124" s="1888"/>
      <c r="E124" s="1888"/>
      <c r="F124" s="1888"/>
      <c r="G124" s="1888"/>
      <c r="H124" s="1888"/>
      <c r="I124" s="1888"/>
      <c r="J124" s="1888"/>
      <c r="K124" s="1888"/>
      <c r="L124" s="1888"/>
      <c r="M124" s="1888"/>
      <c r="N124" s="1888"/>
      <c r="O124" s="1888"/>
      <c r="P124" s="1888"/>
      <c r="Q124" s="1888"/>
      <c r="R124" s="1888"/>
      <c r="S124" s="1888"/>
      <c r="T124" s="1888"/>
    </row>
    <row r="125" spans="1:20" x14ac:dyDescent="0.2">
      <c r="A125" s="1888"/>
      <c r="B125" s="1888"/>
      <c r="C125" s="1888"/>
      <c r="D125" s="1888"/>
      <c r="E125" s="1888"/>
      <c r="F125" s="1888"/>
      <c r="G125" s="1888"/>
      <c r="H125" s="1888"/>
      <c r="I125" s="1888"/>
      <c r="J125" s="1888"/>
      <c r="K125" s="1888"/>
      <c r="L125" s="1888"/>
      <c r="M125" s="1888"/>
      <c r="N125" s="1888"/>
      <c r="O125" s="1888"/>
      <c r="P125" s="1888"/>
      <c r="Q125" s="1888"/>
      <c r="R125" s="1888"/>
      <c r="S125" s="1888"/>
      <c r="T125" s="1888"/>
    </row>
    <row r="126" spans="1:20" x14ac:dyDescent="0.2">
      <c r="A126" s="1888"/>
      <c r="B126" s="1888"/>
      <c r="C126" s="1888"/>
      <c r="D126" s="1888"/>
      <c r="E126" s="1888"/>
      <c r="F126" s="1888"/>
      <c r="G126" s="1888"/>
      <c r="H126" s="1888"/>
      <c r="I126" s="1888"/>
      <c r="J126" s="1888"/>
      <c r="K126" s="1888"/>
      <c r="L126" s="1888"/>
      <c r="M126" s="1888"/>
      <c r="N126" s="1888"/>
      <c r="O126" s="1888"/>
      <c r="P126" s="1888"/>
      <c r="Q126" s="1888"/>
      <c r="R126" s="1888"/>
      <c r="S126" s="1888"/>
      <c r="T126" s="1888"/>
    </row>
    <row r="127" spans="1:20" x14ac:dyDescent="0.2">
      <c r="A127" s="1888"/>
      <c r="B127" s="1888"/>
      <c r="C127" s="1888"/>
      <c r="D127" s="1888"/>
      <c r="E127" s="1888"/>
      <c r="F127" s="1888"/>
      <c r="G127" s="1888"/>
      <c r="H127" s="1888"/>
      <c r="I127" s="1888"/>
      <c r="J127" s="1888"/>
      <c r="K127" s="1888"/>
      <c r="L127" s="1888"/>
      <c r="M127" s="1888"/>
      <c r="N127" s="1888"/>
      <c r="O127" s="1888"/>
      <c r="P127" s="1888"/>
      <c r="Q127" s="1888"/>
      <c r="R127" s="1888"/>
      <c r="S127" s="1888"/>
      <c r="T127" s="1888"/>
    </row>
    <row r="128" spans="1:20" x14ac:dyDescent="0.2">
      <c r="A128" s="1888"/>
      <c r="B128" s="1888"/>
      <c r="C128" s="1888"/>
      <c r="D128" s="1888"/>
      <c r="E128" s="1888"/>
      <c r="F128" s="1888"/>
      <c r="G128" s="1888"/>
      <c r="H128" s="1888"/>
      <c r="I128" s="1888"/>
      <c r="J128" s="1888"/>
      <c r="K128" s="1888"/>
      <c r="L128" s="1888"/>
      <c r="M128" s="1888"/>
      <c r="N128" s="1888"/>
      <c r="O128" s="1888"/>
      <c r="P128" s="1888"/>
      <c r="Q128" s="1888"/>
      <c r="R128" s="1888"/>
      <c r="S128" s="1888"/>
      <c r="T128" s="1888"/>
    </row>
    <row r="129" spans="1:20" x14ac:dyDescent="0.2">
      <c r="A129" s="1888"/>
      <c r="B129" s="1888"/>
      <c r="C129" s="1888"/>
      <c r="D129" s="1888"/>
      <c r="E129" s="1888"/>
      <c r="F129" s="1888"/>
      <c r="G129" s="1888"/>
      <c r="H129" s="1888"/>
      <c r="I129" s="1888"/>
      <c r="J129" s="1888"/>
      <c r="K129" s="1888"/>
      <c r="L129" s="1888"/>
      <c r="M129" s="1888"/>
      <c r="N129" s="1888"/>
      <c r="O129" s="1888"/>
      <c r="P129" s="1888"/>
      <c r="Q129" s="1888"/>
      <c r="R129" s="1888"/>
      <c r="S129" s="1888"/>
      <c r="T129" s="1888"/>
    </row>
    <row r="130" spans="1:20" x14ac:dyDescent="0.2">
      <c r="A130" s="1888"/>
      <c r="B130" s="1888"/>
      <c r="C130" s="1888"/>
      <c r="D130" s="1888"/>
      <c r="E130" s="1888"/>
      <c r="F130" s="1888"/>
      <c r="G130" s="1888"/>
      <c r="H130" s="1888"/>
      <c r="I130" s="1888"/>
      <c r="J130" s="1888"/>
      <c r="K130" s="1888"/>
      <c r="L130" s="1888"/>
      <c r="M130" s="1888"/>
      <c r="N130" s="1888"/>
      <c r="O130" s="1888"/>
      <c r="P130" s="1888"/>
      <c r="Q130" s="1888"/>
      <c r="R130" s="1888"/>
      <c r="S130" s="1888"/>
      <c r="T130" s="1888"/>
    </row>
    <row r="131" spans="1:20" x14ac:dyDescent="0.2">
      <c r="A131" s="1888"/>
      <c r="B131" s="1888"/>
      <c r="C131" s="1888"/>
      <c r="D131" s="1888"/>
      <c r="E131" s="1888"/>
      <c r="F131" s="1888"/>
      <c r="G131" s="1888"/>
      <c r="H131" s="1888"/>
      <c r="I131" s="1888"/>
      <c r="J131" s="1888"/>
      <c r="K131" s="1888"/>
      <c r="L131" s="1888"/>
      <c r="M131" s="1888"/>
      <c r="N131" s="1888"/>
      <c r="O131" s="1888"/>
      <c r="P131" s="1888"/>
      <c r="Q131" s="1888"/>
      <c r="R131" s="1888"/>
      <c r="S131" s="1888"/>
      <c r="T131" s="1888"/>
    </row>
    <row r="132" spans="1:20" x14ac:dyDescent="0.2">
      <c r="A132" s="1888"/>
      <c r="B132" s="1888"/>
      <c r="C132" s="1888"/>
      <c r="D132" s="1888"/>
      <c r="E132" s="1888"/>
      <c r="F132" s="1888"/>
      <c r="G132" s="1888"/>
      <c r="H132" s="1888"/>
      <c r="I132" s="1888"/>
      <c r="J132" s="1888"/>
      <c r="K132" s="1888"/>
      <c r="L132" s="1888"/>
      <c r="M132" s="1888"/>
      <c r="N132" s="1888"/>
      <c r="O132" s="1888"/>
      <c r="P132" s="1888"/>
      <c r="Q132" s="1888"/>
      <c r="R132" s="1888"/>
      <c r="S132" s="1888"/>
      <c r="T132" s="1888"/>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4496E-0862-42BF-BC41-AA698EC344CD}">
  <dimension ref="A1:X144"/>
  <sheetViews>
    <sheetView zoomScale="90" zoomScaleNormal="90" workbookViewId="0">
      <selection activeCell="L13" sqref="L13"/>
    </sheetView>
  </sheetViews>
  <sheetFormatPr defaultColWidth="11.42578125" defaultRowHeight="12.75" x14ac:dyDescent="0.2"/>
  <cols>
    <col min="1" max="1" width="12.140625" style="1844" customWidth="1"/>
    <col min="2" max="2" width="30.42578125" style="1844" bestFit="1" customWidth="1"/>
    <col min="3" max="4" width="11.42578125" style="1844" customWidth="1"/>
    <col min="5" max="5" width="15.42578125" style="1844" customWidth="1"/>
    <col min="6" max="6" width="1.42578125" style="1844" customWidth="1"/>
    <col min="7" max="13" width="13.28515625" style="1844" customWidth="1"/>
    <col min="14" max="14" width="11.42578125" style="1844"/>
    <col min="15" max="15" width="16.42578125" style="1844" customWidth="1"/>
    <col min="16" max="16" width="22.5703125" style="1844" customWidth="1"/>
    <col min="17" max="17" width="21.42578125" style="1844" customWidth="1"/>
    <col min="18" max="18" width="16" style="1844" customWidth="1"/>
    <col min="19" max="19" width="16.42578125" style="1844" customWidth="1"/>
    <col min="20" max="20" width="15.140625" style="1844" customWidth="1"/>
    <col min="21" max="21" width="11.42578125" style="1844"/>
    <col min="22" max="22" width="16" style="1844" bestFit="1" customWidth="1"/>
    <col min="23" max="16384" width="11.42578125" style="1844"/>
  </cols>
  <sheetData>
    <row r="1" spans="1:24" ht="39" customHeight="1" x14ac:dyDescent="0.2">
      <c r="A1" s="2012" t="s">
        <v>1141</v>
      </c>
      <c r="B1" s="2013"/>
      <c r="C1" s="2013"/>
      <c r="D1" s="1888"/>
      <c r="E1" s="1888"/>
      <c r="F1" s="1888"/>
      <c r="G1" s="1888"/>
      <c r="H1" s="1888"/>
      <c r="I1" s="1888"/>
      <c r="J1" s="1982"/>
      <c r="K1" s="1888"/>
      <c r="L1" s="1888"/>
      <c r="M1" s="1888"/>
      <c r="N1" s="2014"/>
      <c r="O1" s="2014"/>
      <c r="P1" s="1888"/>
      <c r="Q1" s="1888"/>
      <c r="R1" s="1888"/>
      <c r="S1" s="1888"/>
      <c r="T1" s="1888"/>
      <c r="U1" s="1888"/>
      <c r="V1" s="1888"/>
      <c r="W1" s="1888"/>
      <c r="X1" s="1888"/>
    </row>
    <row r="2" spans="1:24" ht="18" customHeight="1" x14ac:dyDescent="0.25">
      <c r="A2" s="1902" t="s">
        <v>1142</v>
      </c>
      <c r="B2" s="1913"/>
      <c r="C2" s="1913"/>
      <c r="D2" s="1913"/>
      <c r="E2" s="1913"/>
      <c r="F2" s="1913"/>
      <c r="G2" s="1913"/>
      <c r="H2" s="1913"/>
      <c r="I2" s="1913"/>
      <c r="J2" s="2015"/>
      <c r="K2" s="1955"/>
      <c r="L2" s="1955"/>
      <c r="M2" s="1955"/>
      <c r="N2" s="1955"/>
      <c r="O2" s="1955"/>
      <c r="P2" s="1955"/>
      <c r="Q2" s="1888"/>
      <c r="R2" s="1888"/>
      <c r="S2" s="1888"/>
      <c r="T2" s="1888"/>
      <c r="U2" s="1888"/>
      <c r="V2" s="1888"/>
      <c r="W2" s="1888"/>
      <c r="X2" s="1888"/>
    </row>
    <row r="3" spans="1:24" ht="18" customHeight="1" x14ac:dyDescent="0.25">
      <c r="A3" s="1902" t="s">
        <v>1143</v>
      </c>
      <c r="B3" s="1913"/>
      <c r="C3" s="1913"/>
      <c r="D3" s="1913"/>
      <c r="E3" s="1913"/>
      <c r="F3" s="1913"/>
      <c r="G3" s="1913"/>
      <c r="H3" s="1913"/>
      <c r="I3" s="1913"/>
      <c r="J3" s="2015"/>
      <c r="K3" s="1955"/>
      <c r="L3" s="1955"/>
      <c r="M3" s="1955"/>
      <c r="N3" s="1955"/>
      <c r="O3" s="1955"/>
      <c r="P3" s="2016"/>
      <c r="Q3" s="1888"/>
      <c r="R3" s="1888"/>
      <c r="S3" s="1888"/>
      <c r="T3" s="1888"/>
      <c r="U3" s="1888"/>
      <c r="V3" s="1888"/>
      <c r="W3" s="1888"/>
      <c r="X3" s="1888"/>
    </row>
    <row r="4" spans="1:24" ht="18" customHeight="1" x14ac:dyDescent="0.25">
      <c r="A4" s="1985" t="s">
        <v>1144</v>
      </c>
      <c r="B4" s="1913"/>
      <c r="C4" s="1913"/>
      <c r="D4" s="1913"/>
      <c r="E4" s="1913"/>
      <c r="F4" s="1913"/>
      <c r="G4" s="1913"/>
      <c r="H4" s="1913"/>
      <c r="I4" s="1913"/>
      <c r="J4" s="1913"/>
      <c r="K4" s="1955"/>
      <c r="L4" s="1955"/>
      <c r="M4" s="1955"/>
      <c r="N4" s="1955"/>
      <c r="O4" s="1955"/>
      <c r="P4" s="1955"/>
      <c r="Q4" s="1888"/>
      <c r="R4" s="1888"/>
      <c r="S4" s="1888"/>
      <c r="T4" s="1888"/>
      <c r="U4" s="1888"/>
      <c r="V4" s="1888"/>
      <c r="W4" s="1888"/>
      <c r="X4" s="1888"/>
    </row>
    <row r="5" spans="1:24" ht="14.25" x14ac:dyDescent="0.25">
      <c r="A5" s="1955"/>
      <c r="B5" s="1955"/>
      <c r="C5" s="1955"/>
      <c r="D5" s="1955"/>
      <c r="E5" s="2017"/>
      <c r="F5" s="1955"/>
      <c r="G5" s="1955"/>
      <c r="H5" s="1955"/>
      <c r="I5" s="1955"/>
      <c r="J5" s="1955"/>
      <c r="K5" s="1955"/>
      <c r="L5" s="1955"/>
      <c r="M5" s="1955"/>
      <c r="N5" s="1955"/>
      <c r="O5" s="1955"/>
      <c r="P5" s="1955"/>
      <c r="Q5" s="1888"/>
      <c r="R5" s="1888"/>
      <c r="S5" s="1888"/>
      <c r="T5" s="1888"/>
      <c r="U5" s="1888"/>
      <c r="V5" s="1888"/>
      <c r="W5" s="1888"/>
      <c r="X5" s="1888"/>
    </row>
    <row r="6" spans="1:24" ht="18" customHeight="1" x14ac:dyDescent="0.2">
      <c r="A6" s="1888"/>
      <c r="B6" s="1888"/>
      <c r="C6" s="1888"/>
      <c r="D6" s="1888"/>
      <c r="E6" s="2018" t="s">
        <v>1145</v>
      </c>
      <c r="F6" s="2019"/>
      <c r="G6" s="2019"/>
      <c r="H6" s="2019"/>
      <c r="I6" s="2019"/>
      <c r="J6" s="2020"/>
      <c r="K6" s="2020"/>
      <c r="L6" s="2020"/>
      <c r="M6" s="2020"/>
      <c r="N6" s="1888"/>
      <c r="O6" s="1888"/>
      <c r="P6" s="1888"/>
      <c r="Q6" s="1888"/>
      <c r="R6" s="1888"/>
      <c r="S6" s="1888"/>
      <c r="T6" s="1888"/>
      <c r="U6" s="1888"/>
      <c r="V6" s="1888"/>
      <c r="W6" s="1888"/>
      <c r="X6" s="1888"/>
    </row>
    <row r="7" spans="1:24" ht="28.5" x14ac:dyDescent="0.25">
      <c r="A7" s="1888"/>
      <c r="B7" s="1888"/>
      <c r="C7" s="2021"/>
      <c r="D7" s="2021"/>
      <c r="E7" s="2022" t="s">
        <v>1146</v>
      </c>
      <c r="F7" s="2023"/>
      <c r="G7" s="2024" t="s">
        <v>1147</v>
      </c>
      <c r="H7" s="2024" t="s">
        <v>1494</v>
      </c>
      <c r="I7" s="2024" t="s">
        <v>1148</v>
      </c>
      <c r="J7" s="2024" t="s">
        <v>1149</v>
      </c>
      <c r="K7" s="2024" t="s">
        <v>1150</v>
      </c>
      <c r="L7" s="2024" t="s">
        <v>1151</v>
      </c>
      <c r="M7" s="2024" t="s">
        <v>1495</v>
      </c>
      <c r="N7" s="1888"/>
      <c r="O7" s="1888"/>
      <c r="P7" s="1888"/>
      <c r="Q7" s="1888"/>
      <c r="R7" s="1888"/>
      <c r="S7" s="1888"/>
      <c r="T7" s="1888"/>
      <c r="U7" s="1888"/>
      <c r="V7" s="1888"/>
      <c r="W7" s="1888"/>
      <c r="X7" s="1888"/>
    </row>
    <row r="8" spans="1:24" ht="35.1" customHeight="1" x14ac:dyDescent="0.25">
      <c r="A8" s="1888"/>
      <c r="B8" s="1888"/>
      <c r="C8" s="1888"/>
      <c r="D8" s="1888"/>
      <c r="E8" s="2025" t="s">
        <v>1146</v>
      </c>
      <c r="F8" s="2026"/>
      <c r="G8" s="2027" t="s">
        <v>1152</v>
      </c>
      <c r="H8" s="2027" t="s">
        <v>1496</v>
      </c>
      <c r="I8" s="2027" t="s">
        <v>1153</v>
      </c>
      <c r="J8" s="2027" t="s">
        <v>1154</v>
      </c>
      <c r="K8" s="2027" t="s">
        <v>1155</v>
      </c>
      <c r="L8" s="2027" t="s">
        <v>1497</v>
      </c>
      <c r="M8" s="2027" t="s">
        <v>1498</v>
      </c>
      <c r="N8" s="2028"/>
      <c r="O8" s="2029"/>
      <c r="P8" s="2028"/>
      <c r="Q8" s="2028"/>
      <c r="R8" s="2028"/>
      <c r="S8" s="2028"/>
      <c r="T8" s="2028"/>
      <c r="U8" s="2028"/>
      <c r="V8" s="2028"/>
      <c r="W8" s="1888"/>
      <c r="X8" s="1888"/>
    </row>
    <row r="9" spans="1:24" ht="26.1" customHeight="1" x14ac:dyDescent="0.2">
      <c r="A9" s="1910" t="s">
        <v>1156</v>
      </c>
      <c r="B9" s="2030"/>
      <c r="C9" s="1888"/>
      <c r="D9" s="1888"/>
      <c r="E9" s="2031"/>
      <c r="F9" s="2031"/>
      <c r="G9" s="2031"/>
      <c r="H9" s="2031"/>
      <c r="I9" s="2031"/>
      <c r="J9" s="2031"/>
      <c r="K9" s="2031"/>
      <c r="L9" s="2031"/>
      <c r="M9" s="2031"/>
      <c r="N9" s="2032"/>
      <c r="O9" s="2033"/>
      <c r="P9" s="2028"/>
      <c r="Q9" s="2028"/>
      <c r="R9" s="2028"/>
      <c r="S9" s="2028"/>
      <c r="T9" s="2028"/>
      <c r="U9" s="2028"/>
      <c r="V9" s="2028"/>
      <c r="W9" s="1888"/>
      <c r="X9" s="1888"/>
    </row>
    <row r="10" spans="1:24" x14ac:dyDescent="0.2">
      <c r="A10" s="2034" t="s">
        <v>1157</v>
      </c>
      <c r="B10" s="2035"/>
      <c r="C10" s="1888"/>
      <c r="D10" s="1888"/>
      <c r="E10" s="2031"/>
      <c r="F10" s="2031"/>
      <c r="G10" s="2031"/>
      <c r="H10" s="2031"/>
      <c r="I10" s="2031"/>
      <c r="J10" s="2031"/>
      <c r="K10" s="2031"/>
      <c r="L10" s="2031"/>
      <c r="M10" s="2031"/>
      <c r="N10" s="2032"/>
      <c r="O10" s="2028"/>
      <c r="P10" s="2028"/>
      <c r="Q10" s="2028"/>
      <c r="R10" s="2028"/>
      <c r="S10" s="2028"/>
      <c r="T10" s="2028"/>
      <c r="U10" s="2028"/>
      <c r="V10" s="2028"/>
      <c r="W10" s="1888"/>
      <c r="X10" s="1888"/>
    </row>
    <row r="11" spans="1:24" ht="15.75" x14ac:dyDescent="0.25">
      <c r="A11" s="2036"/>
      <c r="B11" s="2035"/>
      <c r="C11" s="1888"/>
      <c r="D11" s="1888"/>
      <c r="E11" s="2031"/>
      <c r="F11" s="2031"/>
      <c r="G11" s="2031"/>
      <c r="H11" s="2031"/>
      <c r="I11" s="2031"/>
      <c r="J11" s="2031"/>
      <c r="K11" s="2031"/>
      <c r="L11" s="2031"/>
      <c r="M11" s="2031"/>
      <c r="N11" s="2028"/>
      <c r="O11" s="2037"/>
      <c r="P11" s="2028"/>
      <c r="Q11" s="2028"/>
      <c r="R11" s="2028"/>
      <c r="S11" s="2028"/>
      <c r="T11" s="2028"/>
      <c r="U11" s="2028"/>
      <c r="V11" s="2028"/>
      <c r="W11" s="1888"/>
      <c r="X11" s="1888"/>
    </row>
    <row r="12" spans="1:24" ht="18" customHeight="1" x14ac:dyDescent="0.2">
      <c r="A12" s="2038" t="s">
        <v>1158</v>
      </c>
      <c r="B12" s="2039" t="s">
        <v>1159</v>
      </c>
      <c r="C12" s="2040" t="s">
        <v>1160</v>
      </c>
      <c r="D12" s="2041"/>
      <c r="E12" s="2042" t="s">
        <v>1161</v>
      </c>
      <c r="F12" s="2043"/>
      <c r="G12" s="2044" t="s">
        <v>1161</v>
      </c>
      <c r="H12" s="2044" t="s">
        <v>1161</v>
      </c>
      <c r="I12" s="2044" t="s">
        <v>1161</v>
      </c>
      <c r="J12" s="2044" t="s">
        <v>1161</v>
      </c>
      <c r="K12" s="2044" t="s">
        <v>1161</v>
      </c>
      <c r="L12" s="2044" t="s">
        <v>1161</v>
      </c>
      <c r="M12" s="2044" t="s">
        <v>1161</v>
      </c>
      <c r="N12" s="2045"/>
      <c r="O12" s="2955"/>
      <c r="P12" s="2955"/>
      <c r="Q12" s="2955"/>
      <c r="R12" s="2955"/>
      <c r="S12" s="2955"/>
      <c r="T12" s="2028"/>
      <c r="U12" s="2028"/>
      <c r="V12" s="2028"/>
      <c r="W12" s="1888"/>
      <c r="X12" s="1888"/>
    </row>
    <row r="13" spans="1:24" ht="18" customHeight="1" x14ac:dyDescent="0.2">
      <c r="A13" s="1888"/>
      <c r="B13" s="2046" t="s">
        <v>1109</v>
      </c>
      <c r="C13" s="2047"/>
      <c r="D13" s="2048"/>
      <c r="E13" s="2049">
        <v>0.1</v>
      </c>
      <c r="F13" s="2031"/>
      <c r="G13" s="2049">
        <v>0.33300000000000002</v>
      </c>
      <c r="H13" s="2049">
        <v>0.33300000000000002</v>
      </c>
      <c r="I13" s="2049">
        <v>0.33300000000000002</v>
      </c>
      <c r="J13" s="2049">
        <v>0.33300000000000002</v>
      </c>
      <c r="K13" s="2049">
        <v>0.33300000000000002</v>
      </c>
      <c r="L13" s="2049">
        <v>0.33300000000000002</v>
      </c>
      <c r="M13" s="2049">
        <v>0.33300000000000002</v>
      </c>
      <c r="N13" s="2028"/>
      <c r="O13" s="2955"/>
      <c r="P13" s="2955"/>
      <c r="Q13" s="2955"/>
      <c r="R13" s="2955"/>
      <c r="S13" s="2955"/>
      <c r="T13" s="2028"/>
      <c r="U13" s="2028"/>
      <c r="V13" s="2028"/>
      <c r="W13" s="1888"/>
      <c r="X13" s="1888"/>
    </row>
    <row r="14" spans="1:24" ht="18" customHeight="1" x14ac:dyDescent="0.2">
      <c r="A14" s="1888"/>
      <c r="B14" s="2046" t="s">
        <v>1110</v>
      </c>
      <c r="C14" s="2047"/>
      <c r="D14" s="2048"/>
      <c r="E14" s="2049">
        <v>0.1</v>
      </c>
      <c r="F14" s="2031"/>
      <c r="G14" s="2049">
        <v>0.22</v>
      </c>
      <c r="H14" s="2049">
        <v>0.22</v>
      </c>
      <c r="I14" s="2049">
        <v>0.22</v>
      </c>
      <c r="J14" s="2049">
        <v>0.22</v>
      </c>
      <c r="K14" s="2049">
        <v>0.22</v>
      </c>
      <c r="L14" s="2049">
        <v>0.22</v>
      </c>
      <c r="M14" s="2049">
        <v>0.22</v>
      </c>
      <c r="N14" s="2028"/>
      <c r="O14" s="2050"/>
      <c r="P14" s="2051"/>
      <c r="Q14" s="2050"/>
      <c r="R14" s="2050"/>
      <c r="S14" s="2050"/>
      <c r="T14" s="2028"/>
      <c r="U14" s="2028"/>
      <c r="V14" s="2028"/>
      <c r="W14" s="1888"/>
      <c r="X14" s="1888"/>
    </row>
    <row r="15" spans="1:24" ht="18" customHeight="1" x14ac:dyDescent="0.2">
      <c r="A15" s="1888"/>
      <c r="B15" s="2046" t="s">
        <v>50</v>
      </c>
      <c r="C15" s="2047"/>
      <c r="D15" s="2048"/>
      <c r="E15" s="2049">
        <v>0</v>
      </c>
      <c r="F15" s="2031"/>
      <c r="G15" s="2049">
        <v>0</v>
      </c>
      <c r="H15" s="2049">
        <v>0</v>
      </c>
      <c r="I15" s="2049">
        <v>0</v>
      </c>
      <c r="J15" s="2049">
        <v>0</v>
      </c>
      <c r="K15" s="2049">
        <v>0</v>
      </c>
      <c r="L15" s="2049">
        <v>0</v>
      </c>
      <c r="M15" s="2049">
        <v>0</v>
      </c>
      <c r="N15" s="2028"/>
      <c r="O15" s="1843"/>
      <c r="P15" s="2052"/>
      <c r="Q15" s="2052"/>
      <c r="R15" s="2051"/>
      <c r="S15" s="2028"/>
      <c r="T15" s="2028"/>
      <c r="U15" s="2028"/>
      <c r="V15" s="2028"/>
      <c r="W15" s="1888"/>
      <c r="X15" s="1888"/>
    </row>
    <row r="16" spans="1:24" ht="18" customHeight="1" x14ac:dyDescent="0.2">
      <c r="A16" s="1888"/>
      <c r="B16" s="2046" t="s">
        <v>1111</v>
      </c>
      <c r="C16" s="2047"/>
      <c r="D16" s="2048"/>
      <c r="E16" s="2049">
        <v>0.2</v>
      </c>
      <c r="F16" s="2031"/>
      <c r="G16" s="2049">
        <v>0.95</v>
      </c>
      <c r="H16" s="2049">
        <v>0.95</v>
      </c>
      <c r="I16" s="2049">
        <v>0.95</v>
      </c>
      <c r="J16" s="2049">
        <v>0.95</v>
      </c>
      <c r="K16" s="2049">
        <v>0.95</v>
      </c>
      <c r="L16" s="2049">
        <v>0.95</v>
      </c>
      <c r="M16" s="2049">
        <v>0.95</v>
      </c>
      <c r="N16" s="2028"/>
      <c r="O16" s="2053"/>
      <c r="P16" s="2054"/>
      <c r="Q16" s="2055"/>
      <c r="R16" s="2056"/>
      <c r="S16" s="2057"/>
      <c r="T16" s="2028"/>
      <c r="U16" s="2028"/>
      <c r="V16" s="2028"/>
      <c r="W16" s="1888"/>
      <c r="X16" s="1888"/>
    </row>
    <row r="17" spans="1:24" ht="18" customHeight="1" x14ac:dyDescent="0.2">
      <c r="A17" s="1888"/>
      <c r="B17" s="2046" t="s">
        <v>1112</v>
      </c>
      <c r="C17" s="2047"/>
      <c r="D17" s="2048"/>
      <c r="E17" s="2049">
        <v>0.2</v>
      </c>
      <c r="F17" s="2031"/>
      <c r="G17" s="2049">
        <v>0.95</v>
      </c>
      <c r="H17" s="2049">
        <v>0.95</v>
      </c>
      <c r="I17" s="2049">
        <v>0.95</v>
      </c>
      <c r="J17" s="2049">
        <v>0.95</v>
      </c>
      <c r="K17" s="2049">
        <v>0.95</v>
      </c>
      <c r="L17" s="2049">
        <v>0.95</v>
      </c>
      <c r="M17" s="2049">
        <v>0.95</v>
      </c>
      <c r="N17" s="2028"/>
      <c r="O17" s="2053"/>
      <c r="P17" s="2054"/>
      <c r="Q17" s="2055"/>
      <c r="R17" s="2056"/>
      <c r="S17" s="2058"/>
      <c r="T17" s="2028"/>
      <c r="U17" s="2028"/>
      <c r="V17" s="2028"/>
      <c r="W17" s="1888"/>
      <c r="X17" s="1888"/>
    </row>
    <row r="18" spans="1:24" x14ac:dyDescent="0.2">
      <c r="A18" s="1888"/>
      <c r="B18" s="1843"/>
      <c r="C18" s="2028"/>
      <c r="D18" s="2028"/>
      <c r="E18" s="2059"/>
      <c r="F18" s="2059"/>
      <c r="G18" s="2059"/>
      <c r="H18" s="2059"/>
      <c r="I18" s="2059"/>
      <c r="J18" s="2059"/>
      <c r="K18" s="2059"/>
      <c r="L18" s="2059"/>
      <c r="M18" s="2059"/>
      <c r="N18" s="2028"/>
      <c r="O18" s="2053"/>
      <c r="P18" s="2054"/>
      <c r="Q18" s="2055"/>
      <c r="R18" s="2056"/>
      <c r="S18" s="2060"/>
      <c r="T18" s="2028"/>
      <c r="U18" s="2028"/>
      <c r="V18" s="2028"/>
      <c r="W18" s="1888"/>
      <c r="X18" s="1888"/>
    </row>
    <row r="19" spans="1:24" x14ac:dyDescent="0.2">
      <c r="A19" s="1888"/>
      <c r="B19" s="1888"/>
      <c r="C19" s="1888"/>
      <c r="D19" s="1888"/>
      <c r="E19" s="1888"/>
      <c r="F19" s="1888"/>
      <c r="G19" s="1888"/>
      <c r="H19" s="1888"/>
      <c r="I19" s="1888"/>
      <c r="J19" s="1888"/>
      <c r="K19" s="1888"/>
      <c r="L19" s="1888"/>
      <c r="M19" s="1888"/>
      <c r="N19" s="2028"/>
      <c r="O19" s="2053"/>
      <c r="P19" s="2054"/>
      <c r="Q19" s="2055"/>
      <c r="R19" s="2056"/>
      <c r="S19" s="2060"/>
      <c r="T19" s="2028"/>
      <c r="U19" s="2028"/>
      <c r="V19" s="2028"/>
      <c r="W19" s="1888"/>
      <c r="X19" s="1888"/>
    </row>
    <row r="20" spans="1:24" ht="26.1" customHeight="1" x14ac:dyDescent="0.2">
      <c r="A20" s="1910" t="s">
        <v>1162</v>
      </c>
      <c r="B20" s="2061"/>
      <c r="C20" s="1888"/>
      <c r="D20" s="1888"/>
      <c r="E20" s="1888"/>
      <c r="F20" s="1888"/>
      <c r="G20" s="1888"/>
      <c r="H20" s="1888"/>
      <c r="I20" s="1888"/>
      <c r="J20" s="1888"/>
      <c r="K20" s="1888"/>
      <c r="L20" s="1888"/>
      <c r="M20" s="1888"/>
      <c r="N20" s="2028"/>
      <c r="O20" s="2053"/>
      <c r="P20" s="2054"/>
      <c r="Q20" s="2055"/>
      <c r="R20" s="2056"/>
      <c r="S20" s="2060"/>
      <c r="T20" s="2028"/>
      <c r="U20" s="2028"/>
      <c r="V20" s="2028"/>
      <c r="W20" s="1888"/>
      <c r="X20" s="1888"/>
    </row>
    <row r="21" spans="1:24" s="2070" customFormat="1" ht="18" customHeight="1" x14ac:dyDescent="0.25">
      <c r="A21" s="2062" t="s">
        <v>1163</v>
      </c>
      <c r="B21" s="2063"/>
      <c r="C21" s="2063"/>
      <c r="D21" s="2063"/>
      <c r="E21" s="2063"/>
      <c r="F21" s="2063"/>
      <c r="G21" s="2063"/>
      <c r="H21" s="2063"/>
      <c r="I21" s="2063"/>
      <c r="J21" s="2063"/>
      <c r="K21" s="2063"/>
      <c r="L21" s="2063"/>
      <c r="M21" s="2063"/>
      <c r="N21" s="2064"/>
      <c r="O21" s="2065"/>
      <c r="P21" s="2066"/>
      <c r="Q21" s="2067"/>
      <c r="R21" s="2068"/>
      <c r="S21" s="2069"/>
      <c r="T21" s="2064"/>
      <c r="U21" s="2064"/>
      <c r="V21" s="2064"/>
      <c r="W21" s="1955"/>
      <c r="X21" s="1955"/>
    </row>
    <row r="22" spans="1:24" s="2070" customFormat="1" ht="18" customHeight="1" x14ac:dyDescent="0.25">
      <c r="A22" s="2063" t="s">
        <v>1164</v>
      </c>
      <c r="B22" s="2063"/>
      <c r="C22" s="2063"/>
      <c r="D22" s="2063"/>
      <c r="E22" s="2063"/>
      <c r="F22" s="2063"/>
      <c r="G22" s="2063"/>
      <c r="H22" s="2063"/>
      <c r="I22" s="2063"/>
      <c r="J22" s="2063"/>
      <c r="K22" s="2063"/>
      <c r="L22" s="2063"/>
      <c r="M22" s="2063"/>
      <c r="N22" s="2064"/>
      <c r="O22" s="2065"/>
      <c r="P22" s="2066"/>
      <c r="Q22" s="2067"/>
      <c r="R22" s="2068"/>
      <c r="S22" s="2071"/>
      <c r="T22" s="2064"/>
      <c r="U22" s="2064"/>
      <c r="V22" s="2064"/>
      <c r="W22" s="1955"/>
      <c r="X22" s="1955"/>
    </row>
    <row r="23" spans="1:24" s="2070" customFormat="1" ht="18" customHeight="1" x14ac:dyDescent="0.25">
      <c r="A23" s="2072" t="s">
        <v>1158</v>
      </c>
      <c r="B23" s="1987" t="s">
        <v>1165</v>
      </c>
      <c r="C23" s="2073" t="s">
        <v>1160</v>
      </c>
      <c r="D23" s="2074"/>
      <c r="E23" s="2075" t="s">
        <v>1161</v>
      </c>
      <c r="F23" s="2076"/>
      <c r="G23" s="2077" t="s">
        <v>1161</v>
      </c>
      <c r="H23" s="2077" t="s">
        <v>1161</v>
      </c>
      <c r="I23" s="2077" t="s">
        <v>1161</v>
      </c>
      <c r="J23" s="2077" t="s">
        <v>1161</v>
      </c>
      <c r="K23" s="2077" t="s">
        <v>1161</v>
      </c>
      <c r="L23" s="2077" t="s">
        <v>1161</v>
      </c>
      <c r="M23" s="2077" t="s">
        <v>1161</v>
      </c>
      <c r="N23" s="2078"/>
      <c r="S23" s="1955"/>
      <c r="T23" s="1955"/>
      <c r="U23" s="1955"/>
      <c r="V23" s="1955"/>
      <c r="W23" s="1955"/>
      <c r="X23" s="1955"/>
    </row>
    <row r="24" spans="1:24" s="2070" customFormat="1" ht="18" customHeight="1" x14ac:dyDescent="0.25">
      <c r="A24" s="1913"/>
      <c r="B24" s="2079" t="s">
        <v>1107</v>
      </c>
      <c r="C24" s="1906"/>
      <c r="D24" s="1907"/>
      <c r="E24" s="2080">
        <v>0</v>
      </c>
      <c r="F24" s="2081"/>
      <c r="G24" s="1968">
        <v>0</v>
      </c>
      <c r="H24" s="1968">
        <v>0</v>
      </c>
      <c r="I24" s="1968">
        <v>0</v>
      </c>
      <c r="J24" s="1968">
        <v>0</v>
      </c>
      <c r="K24" s="1968">
        <v>0</v>
      </c>
      <c r="L24" s="1968">
        <v>0</v>
      </c>
      <c r="M24" s="1968">
        <v>0</v>
      </c>
      <c r="N24" s="1955"/>
      <c r="O24" s="1955"/>
      <c r="P24" s="1955"/>
      <c r="Q24" s="1955"/>
      <c r="R24" s="1955"/>
      <c r="S24" s="1955"/>
      <c r="T24" s="1955"/>
      <c r="U24" s="1955"/>
      <c r="V24" s="1955"/>
      <c r="W24" s="1955"/>
      <c r="X24" s="1955"/>
    </row>
    <row r="25" spans="1:24" s="2070" customFormat="1" ht="18" customHeight="1" x14ac:dyDescent="0.25">
      <c r="A25" s="1913"/>
      <c r="B25" s="2079" t="s">
        <v>1108</v>
      </c>
      <c r="C25" s="1906"/>
      <c r="D25" s="1907"/>
      <c r="E25" s="2080">
        <v>0</v>
      </c>
      <c r="F25" s="2081"/>
      <c r="G25" s="1968">
        <v>0</v>
      </c>
      <c r="H25" s="1968">
        <v>0</v>
      </c>
      <c r="I25" s="1968">
        <v>0</v>
      </c>
      <c r="J25" s="1968">
        <v>0</v>
      </c>
      <c r="K25" s="1968">
        <v>0</v>
      </c>
      <c r="L25" s="1968">
        <v>0</v>
      </c>
      <c r="M25" s="1968">
        <v>0</v>
      </c>
      <c r="N25" s="1955"/>
      <c r="O25" s="1955"/>
      <c r="Q25" s="1955"/>
      <c r="R25" s="1955"/>
      <c r="S25" s="1955"/>
      <c r="T25" s="1955"/>
      <c r="U25" s="1955"/>
      <c r="V25" s="1955"/>
      <c r="W25" s="1955"/>
      <c r="X25" s="1955"/>
    </row>
    <row r="26" spans="1:24" s="2070" customFormat="1" ht="26.1" customHeight="1" x14ac:dyDescent="0.25">
      <c r="A26" s="1913"/>
      <c r="B26" s="2082"/>
      <c r="C26" s="1913"/>
      <c r="D26" s="1913"/>
      <c r="E26" s="1913"/>
      <c r="F26" s="1913"/>
      <c r="G26" s="1913"/>
      <c r="H26" s="1913"/>
      <c r="I26" s="1913"/>
      <c r="J26" s="1913"/>
      <c r="K26" s="1913"/>
      <c r="L26" s="1913"/>
      <c r="M26" s="1913"/>
      <c r="N26" s="1955"/>
      <c r="O26" s="1955"/>
      <c r="P26" s="2956" t="s">
        <v>1166</v>
      </c>
      <c r="Q26" s="2957"/>
      <c r="R26" s="2957"/>
      <c r="S26" s="2957"/>
      <c r="T26" s="2957"/>
      <c r="U26" s="2957"/>
      <c r="V26" s="2958"/>
      <c r="W26" s="1955"/>
      <c r="X26" s="1955"/>
    </row>
    <row r="27" spans="1:24" s="2070" customFormat="1" ht="18" customHeight="1" x14ac:dyDescent="0.25">
      <c r="A27" s="1902" t="s">
        <v>1167</v>
      </c>
      <c r="B27" s="1913"/>
      <c r="C27" s="1913"/>
      <c r="D27" s="1913"/>
      <c r="E27" s="1913"/>
      <c r="F27" s="1913"/>
      <c r="G27" s="1913"/>
      <c r="H27" s="1913"/>
      <c r="I27" s="1913"/>
      <c r="J27" s="1913"/>
      <c r="K27" s="1913"/>
      <c r="L27" s="1913"/>
      <c r="M27" s="1913"/>
      <c r="N27" s="1955"/>
      <c r="O27" s="1955"/>
      <c r="P27" s="2083" t="s">
        <v>740</v>
      </c>
      <c r="Q27" s="2084" t="s">
        <v>1168</v>
      </c>
      <c r="R27" s="2084" t="s">
        <v>1168</v>
      </c>
      <c r="S27" s="2084" t="s">
        <v>1169</v>
      </c>
      <c r="T27" s="2085" t="s">
        <v>1170</v>
      </c>
      <c r="U27" s="2085" t="s">
        <v>1171</v>
      </c>
      <c r="V27" s="2086" t="s">
        <v>217</v>
      </c>
      <c r="W27" s="1955"/>
      <c r="X27" s="1955"/>
    </row>
    <row r="28" spans="1:24" s="2070" customFormat="1" ht="18" customHeight="1" x14ac:dyDescent="0.25">
      <c r="A28" s="1913"/>
      <c r="B28" s="1913"/>
      <c r="C28" s="1913"/>
      <c r="D28" s="1913"/>
      <c r="E28" s="1913"/>
      <c r="F28" s="1913"/>
      <c r="G28" s="1913"/>
      <c r="H28" s="1913"/>
      <c r="I28" s="1913"/>
      <c r="J28" s="1913"/>
      <c r="K28" s="1913"/>
      <c r="L28" s="1913"/>
      <c r="M28" s="1913"/>
      <c r="N28" s="1955"/>
      <c r="O28" s="1955"/>
      <c r="P28" s="2087" t="s">
        <v>1172</v>
      </c>
      <c r="Q28" s="2088" t="s">
        <v>1173</v>
      </c>
      <c r="R28" s="2088" t="s">
        <v>1174</v>
      </c>
      <c r="S28" s="2088" t="s">
        <v>1175</v>
      </c>
      <c r="T28" s="2088" t="s">
        <v>1176</v>
      </c>
      <c r="U28" s="2088" t="s">
        <v>1161</v>
      </c>
      <c r="V28" s="2086"/>
      <c r="W28" s="1955"/>
      <c r="X28" s="1955"/>
    </row>
    <row r="29" spans="1:24" s="2070" customFormat="1" ht="18" customHeight="1" x14ac:dyDescent="0.25">
      <c r="A29" s="2072" t="s">
        <v>1158</v>
      </c>
      <c r="B29" s="2089" t="s">
        <v>1177</v>
      </c>
      <c r="C29" s="2090"/>
      <c r="D29" s="2090"/>
      <c r="E29" s="2091" t="s">
        <v>1161</v>
      </c>
      <c r="F29" s="2076"/>
      <c r="G29" s="2077" t="s">
        <v>1161</v>
      </c>
      <c r="H29" s="2077" t="s">
        <v>1161</v>
      </c>
      <c r="I29" s="2077" t="s">
        <v>1161</v>
      </c>
      <c r="J29" s="2077" t="s">
        <v>1161</v>
      </c>
      <c r="K29" s="2077" t="s">
        <v>1161</v>
      </c>
      <c r="L29" s="2077" t="s">
        <v>1161</v>
      </c>
      <c r="M29" s="2077" t="s">
        <v>1161</v>
      </c>
      <c r="N29" s="2078"/>
      <c r="O29" s="1955"/>
      <c r="P29" s="2092" t="s">
        <v>1178</v>
      </c>
      <c r="Q29" s="2093">
        <v>0</v>
      </c>
      <c r="R29" s="2094">
        <v>12000</v>
      </c>
      <c r="S29" s="2095">
        <f>Q29+R29</f>
        <v>12000</v>
      </c>
      <c r="T29" s="2096">
        <f>'CO2 - Início'!$J$24*'CO2 - Início'!E35</f>
        <v>70664</v>
      </c>
      <c r="U29" s="2097">
        <f>S29/('CO2 - Início'!$J$24*'CO2 - Início'!E35)</f>
        <v>0.16981772897090455</v>
      </c>
      <c r="V29" s="2098" t="s">
        <v>1179</v>
      </c>
      <c r="W29" s="1955"/>
      <c r="X29" s="1955"/>
    </row>
    <row r="30" spans="1:24" s="2070" customFormat="1" ht="18" customHeight="1" x14ac:dyDescent="0.25">
      <c r="A30" s="1913"/>
      <c r="B30" s="1905" t="s">
        <v>131</v>
      </c>
      <c r="C30" s="1906"/>
      <c r="D30" s="1907"/>
      <c r="E30" s="2080">
        <v>0</v>
      </c>
      <c r="F30" s="2099">
        <v>0</v>
      </c>
      <c r="G30" s="2080">
        <v>0</v>
      </c>
      <c r="H30" s="2080">
        <v>0</v>
      </c>
      <c r="I30" s="2080">
        <v>0</v>
      </c>
      <c r="J30" s="2080">
        <v>1</v>
      </c>
      <c r="K30" s="2080">
        <v>0</v>
      </c>
      <c r="L30" s="2080">
        <v>0</v>
      </c>
      <c r="M30" s="2080">
        <v>0</v>
      </c>
      <c r="N30" s="1955"/>
      <c r="O30" s="2100"/>
      <c r="P30" s="2092" t="s">
        <v>1180</v>
      </c>
      <c r="Q30" s="2093">
        <v>0</v>
      </c>
      <c r="R30" s="2101">
        <v>600</v>
      </c>
      <c r="S30" s="2095">
        <f t="shared" ref="S30:S35" si="0">Q30+R30</f>
        <v>600</v>
      </c>
      <c r="T30" s="2096">
        <f>'CO2 - Início'!$J$24*'CO2 - Início'!E36</f>
        <v>4380</v>
      </c>
      <c r="U30" s="2097">
        <f>S30/('CO2 - Início'!$J$24*'CO2 - Início'!E36)</f>
        <v>0.13698630136986301</v>
      </c>
      <c r="V30" s="2102">
        <f>(S29+S30)/(T29+T30)</f>
        <v>0.1679014977879644</v>
      </c>
      <c r="W30" s="1955"/>
      <c r="X30" s="1955"/>
    </row>
    <row r="31" spans="1:24" s="2070" customFormat="1" ht="18" customHeight="1" x14ac:dyDescent="0.25">
      <c r="A31" s="1913"/>
      <c r="B31" s="1905" t="s">
        <v>1181</v>
      </c>
      <c r="C31" s="1906"/>
      <c r="D31" s="1907"/>
      <c r="E31" s="2080">
        <v>0</v>
      </c>
      <c r="F31" s="2081"/>
      <c r="G31" s="2080">
        <v>1</v>
      </c>
      <c r="H31" s="2080">
        <v>1</v>
      </c>
      <c r="I31" s="2080">
        <v>1</v>
      </c>
      <c r="J31" s="2080">
        <v>0</v>
      </c>
      <c r="K31" s="2080">
        <v>0</v>
      </c>
      <c r="L31" s="2080">
        <v>0</v>
      </c>
      <c r="M31" s="2080">
        <v>0</v>
      </c>
      <c r="N31" s="1955"/>
      <c r="O31" s="1955"/>
      <c r="P31" s="2092" t="s">
        <v>1109</v>
      </c>
      <c r="Q31" s="2093">
        <v>500</v>
      </c>
      <c r="R31" s="2101">
        <v>3000</v>
      </c>
      <c r="S31" s="2095">
        <f t="shared" si="0"/>
        <v>3500</v>
      </c>
      <c r="T31" s="2096">
        <f>'CO2 - Início'!$J$24*'CO2 - Início'!E37</f>
        <v>19126</v>
      </c>
      <c r="U31" s="2097">
        <f>S31/('CO2 - Início'!$J$24*'CO2 - Início'!E37)</f>
        <v>0.18299696747882463</v>
      </c>
      <c r="V31" s="2103"/>
      <c r="W31" s="1955"/>
      <c r="X31" s="1955"/>
    </row>
    <row r="32" spans="1:24" s="2070" customFormat="1" ht="18" customHeight="1" x14ac:dyDescent="0.25">
      <c r="A32" s="1913"/>
      <c r="B32" s="2104" t="s">
        <v>42</v>
      </c>
      <c r="C32" s="1988"/>
      <c r="D32" s="1988"/>
      <c r="E32" s="2105">
        <f>+E30+E31</f>
        <v>0</v>
      </c>
      <c r="F32" s="2081"/>
      <c r="G32" s="2105">
        <f t="shared" ref="G32:M32" si="1">+G30+G31</f>
        <v>1</v>
      </c>
      <c r="H32" s="2105">
        <f t="shared" si="1"/>
        <v>1</v>
      </c>
      <c r="I32" s="2105">
        <f t="shared" si="1"/>
        <v>1</v>
      </c>
      <c r="J32" s="2105">
        <f t="shared" si="1"/>
        <v>1</v>
      </c>
      <c r="K32" s="2105">
        <f t="shared" si="1"/>
        <v>0</v>
      </c>
      <c r="L32" s="2105">
        <f t="shared" si="1"/>
        <v>0</v>
      </c>
      <c r="M32" s="2105">
        <f t="shared" si="1"/>
        <v>0</v>
      </c>
      <c r="N32" s="2100"/>
      <c r="O32" s="2106"/>
      <c r="P32" s="2092" t="s">
        <v>1110</v>
      </c>
      <c r="Q32" s="2093">
        <v>300</v>
      </c>
      <c r="R32" s="2094">
        <v>1200</v>
      </c>
      <c r="S32" s="2095">
        <f t="shared" si="0"/>
        <v>1500</v>
      </c>
      <c r="T32" s="2096">
        <f>'CO2 - Início'!$J$24*'CO2 - Início'!E38</f>
        <v>19710</v>
      </c>
      <c r="U32" s="2097">
        <f>S32/('CO2 - Início'!$J$24*'CO2 - Início'!E38)</f>
        <v>7.6103500761035003E-2</v>
      </c>
      <c r="V32" s="2107"/>
      <c r="W32" s="1955"/>
      <c r="X32" s="1955"/>
    </row>
    <row r="33" spans="1:24" s="2070" customFormat="1" ht="18" customHeight="1" x14ac:dyDescent="0.25">
      <c r="A33" s="1913"/>
      <c r="B33" s="2108"/>
      <c r="C33" s="1913"/>
      <c r="D33" s="1913"/>
      <c r="E33" s="2109" t="s">
        <v>1161</v>
      </c>
      <c r="F33" s="2110"/>
      <c r="G33" s="2109" t="s">
        <v>1161</v>
      </c>
      <c r="H33" s="2109" t="s">
        <v>1161</v>
      </c>
      <c r="I33" s="2109" t="s">
        <v>1161</v>
      </c>
      <c r="J33" s="2109" t="s">
        <v>1161</v>
      </c>
      <c r="K33" s="2109" t="s">
        <v>1161</v>
      </c>
      <c r="L33" s="2109" t="s">
        <v>1161</v>
      </c>
      <c r="M33" s="2109" t="s">
        <v>1161</v>
      </c>
      <c r="N33" s="2100"/>
      <c r="O33" s="2111"/>
      <c r="P33" s="2092" t="s">
        <v>50</v>
      </c>
      <c r="Q33" s="2093">
        <v>0</v>
      </c>
      <c r="R33" s="2094">
        <v>70</v>
      </c>
      <c r="S33" s="2095">
        <f t="shared" si="0"/>
        <v>70</v>
      </c>
      <c r="T33" s="2096">
        <f>'CO2 - Início'!$J$24*'CO2 - Início'!E39</f>
        <v>3504</v>
      </c>
      <c r="U33" s="2097">
        <f>S33/('CO2 - Início'!$J$24*'CO2 - Início'!E39)</f>
        <v>1.9977168949771688E-2</v>
      </c>
      <c r="V33" s="2107"/>
      <c r="W33" s="1955"/>
      <c r="X33" s="1955"/>
    </row>
    <row r="34" spans="1:24" s="2070" customFormat="1" ht="18" customHeight="1" x14ac:dyDescent="0.25">
      <c r="A34" s="1913"/>
      <c r="B34" s="2959" t="s">
        <v>1182</v>
      </c>
      <c r="C34" s="2960"/>
      <c r="D34" s="2961"/>
      <c r="E34" s="2080">
        <v>0</v>
      </c>
      <c r="F34" s="2099"/>
      <c r="G34" s="2080">
        <v>1</v>
      </c>
      <c r="H34" s="2080">
        <v>0</v>
      </c>
      <c r="I34" s="2080">
        <v>0</v>
      </c>
      <c r="J34" s="2080">
        <v>0</v>
      </c>
      <c r="K34" s="2080">
        <v>0</v>
      </c>
      <c r="L34" s="2080">
        <v>0</v>
      </c>
      <c r="M34" s="2080">
        <v>0</v>
      </c>
      <c r="N34" s="2100"/>
      <c r="O34" s="1955"/>
      <c r="P34" s="2092" t="s">
        <v>1111</v>
      </c>
      <c r="Q34" s="2093">
        <v>50</v>
      </c>
      <c r="R34" s="2094">
        <v>700</v>
      </c>
      <c r="S34" s="2095">
        <f t="shared" si="0"/>
        <v>750</v>
      </c>
      <c r="T34" s="2096">
        <f>'CO2 - Início'!$J$24*'CO2 - Início'!E40</f>
        <v>3358</v>
      </c>
      <c r="U34" s="2097">
        <f>S34/('CO2 - Início'!$J$24*'CO2 - Início'!E40)</f>
        <v>0.22334723049434188</v>
      </c>
      <c r="V34" s="2112" t="s">
        <v>865</v>
      </c>
      <c r="W34" s="1955"/>
      <c r="X34" s="1955"/>
    </row>
    <row r="35" spans="1:24" s="2070" customFormat="1" ht="18" customHeight="1" x14ac:dyDescent="0.25">
      <c r="A35" s="1913"/>
      <c r="B35" s="2959" t="s">
        <v>1183</v>
      </c>
      <c r="C35" s="2960"/>
      <c r="D35" s="2961"/>
      <c r="E35" s="2080">
        <v>0</v>
      </c>
      <c r="F35" s="2081"/>
      <c r="G35" s="2080">
        <v>0</v>
      </c>
      <c r="H35" s="2080">
        <v>1</v>
      </c>
      <c r="I35" s="2080">
        <v>1</v>
      </c>
      <c r="J35" s="2080">
        <v>0</v>
      </c>
      <c r="K35" s="2080">
        <v>0</v>
      </c>
      <c r="L35" s="2080">
        <v>0</v>
      </c>
      <c r="M35" s="2080">
        <v>0</v>
      </c>
      <c r="N35" s="2100"/>
      <c r="O35" s="1955"/>
      <c r="P35" s="2113" t="s">
        <v>1112</v>
      </c>
      <c r="Q35" s="2114">
        <v>50</v>
      </c>
      <c r="R35" s="2115">
        <v>200</v>
      </c>
      <c r="S35" s="2116">
        <f t="shared" si="0"/>
        <v>250</v>
      </c>
      <c r="T35" s="2117">
        <f>'CO2 - Início'!$J$24*'CO2 - Início'!E41</f>
        <v>876</v>
      </c>
      <c r="U35" s="2118">
        <f>S35/('CO2 - Início'!$J$24*'CO2 - Início'!E41)</f>
        <v>0.28538812785388129</v>
      </c>
      <c r="V35" s="2102">
        <f>SUM(S31:S35)/SUM(T31:T35)</f>
        <v>0.13033022716537124</v>
      </c>
      <c r="W35" s="1955"/>
      <c r="X35" s="1955"/>
    </row>
    <row r="36" spans="1:24" s="2070" customFormat="1" ht="18" customHeight="1" x14ac:dyDescent="0.25">
      <c r="A36" s="1955"/>
      <c r="B36" s="1955"/>
      <c r="C36" s="1955"/>
      <c r="D36" s="1955"/>
      <c r="E36" s="1955"/>
      <c r="F36" s="1955"/>
      <c r="G36" s="1955"/>
      <c r="H36" s="1955"/>
      <c r="I36" s="1955"/>
      <c r="J36" s="1955"/>
      <c r="K36" s="1955"/>
      <c r="L36" s="1955"/>
      <c r="M36" s="1955"/>
      <c r="N36" s="1955"/>
      <c r="O36" s="1955"/>
      <c r="P36" s="1955"/>
      <c r="Q36" s="1955"/>
      <c r="R36" s="1955"/>
      <c r="S36" s="1955"/>
      <c r="T36" s="1955"/>
      <c r="U36" s="1955"/>
      <c r="V36" s="1955"/>
      <c r="W36" s="1955"/>
      <c r="X36" s="1955"/>
    </row>
    <row r="37" spans="1:24" s="2070" customFormat="1" ht="18" customHeight="1" x14ac:dyDescent="0.25">
      <c r="A37" s="1955"/>
      <c r="B37" s="2119" t="s">
        <v>1096</v>
      </c>
      <c r="C37" s="2120"/>
      <c r="D37" s="2120"/>
      <c r="E37" s="2120"/>
      <c r="F37" s="2120"/>
      <c r="G37" s="2120"/>
      <c r="H37" s="2120"/>
      <c r="I37" s="2120"/>
      <c r="J37" s="2120"/>
      <c r="K37" s="2120"/>
      <c r="L37" s="2120"/>
      <c r="M37" s="2120"/>
      <c r="N37" s="2121"/>
      <c r="O37" s="1955"/>
      <c r="P37" s="1955"/>
      <c r="Q37" s="1955"/>
      <c r="R37" s="1955"/>
      <c r="S37" s="1955"/>
      <c r="T37" s="1955"/>
      <c r="U37" s="1955"/>
      <c r="V37" s="1955"/>
      <c r="W37" s="1955"/>
      <c r="X37" s="1955"/>
    </row>
    <row r="38" spans="1:24" s="2070" customFormat="1" ht="18" customHeight="1" x14ac:dyDescent="0.25">
      <c r="A38" s="1955"/>
      <c r="B38" s="1933" t="s">
        <v>1184</v>
      </c>
      <c r="C38" s="1934"/>
      <c r="D38" s="1934"/>
      <c r="E38" s="1934"/>
      <c r="F38" s="1934"/>
      <c r="G38" s="1934"/>
      <c r="H38" s="1934"/>
      <c r="I38" s="1934"/>
      <c r="J38" s="1934"/>
      <c r="K38" s="1934"/>
      <c r="L38" s="1934"/>
      <c r="M38" s="1934"/>
      <c r="N38" s="2122"/>
      <c r="O38" s="1955"/>
      <c r="P38" s="1955"/>
      <c r="Q38" s="1955"/>
      <c r="R38" s="1955"/>
      <c r="S38" s="1955"/>
      <c r="T38" s="1955"/>
      <c r="U38" s="1955"/>
      <c r="V38" s="1955"/>
      <c r="W38" s="1955"/>
      <c r="X38" s="1955"/>
    </row>
    <row r="39" spans="1:24" s="2070" customFormat="1" ht="18" customHeight="1" x14ac:dyDescent="0.25">
      <c r="A39" s="1955"/>
      <c r="B39" s="1933" t="s">
        <v>1185</v>
      </c>
      <c r="C39" s="1934"/>
      <c r="D39" s="1934"/>
      <c r="E39" s="1934"/>
      <c r="F39" s="1934"/>
      <c r="G39" s="1934"/>
      <c r="H39" s="1934"/>
      <c r="I39" s="1934"/>
      <c r="J39" s="1934"/>
      <c r="K39" s="1934"/>
      <c r="L39" s="1934"/>
      <c r="M39" s="1934"/>
      <c r="N39" s="2122"/>
      <c r="O39" s="1955"/>
      <c r="P39" s="1955"/>
      <c r="Q39" s="1955"/>
      <c r="R39" s="1955"/>
      <c r="S39" s="1955"/>
      <c r="T39" s="1955"/>
      <c r="U39" s="1955"/>
      <c r="V39" s="1955"/>
      <c r="W39" s="1955"/>
      <c r="X39" s="1955"/>
    </row>
    <row r="40" spans="1:24" s="2070" customFormat="1" ht="18" customHeight="1" x14ac:dyDescent="0.25">
      <c r="A40" s="1955"/>
      <c r="B40" s="1937"/>
      <c r="C40" s="1934"/>
      <c r="D40" s="1934"/>
      <c r="E40" s="1934"/>
      <c r="F40" s="1934"/>
      <c r="G40" s="1934"/>
      <c r="H40" s="1934"/>
      <c r="I40" s="1934"/>
      <c r="J40" s="1934"/>
      <c r="K40" s="1934"/>
      <c r="L40" s="1934"/>
      <c r="M40" s="1934"/>
      <c r="N40" s="2122"/>
      <c r="O40" s="1955"/>
      <c r="P40" s="1955"/>
      <c r="Q40" s="1955"/>
      <c r="R40" s="1955"/>
      <c r="S40" s="1955"/>
      <c r="T40" s="1955"/>
      <c r="U40" s="1955"/>
      <c r="V40" s="1955"/>
      <c r="W40" s="1955"/>
      <c r="X40" s="1955"/>
    </row>
    <row r="41" spans="1:24" s="2070" customFormat="1" ht="35.1" customHeight="1" x14ac:dyDescent="0.25">
      <c r="A41" s="1955"/>
      <c r="B41" s="2123" t="s">
        <v>1186</v>
      </c>
      <c r="C41" s="2124"/>
      <c r="D41" s="2124"/>
      <c r="E41" s="2125" t="str">
        <f>+E8</f>
        <v>Cenário-Base</v>
      </c>
      <c r="F41" s="1934"/>
      <c r="G41" s="2125" t="str">
        <f t="shared" ref="G41:M41" si="2">+G8</f>
        <v>Biodigestão RT1A + CDR TM</v>
      </c>
      <c r="H41" s="2125" t="str">
        <f t="shared" si="2"/>
        <v>Biodigestão RT1B + CDR TM</v>
      </c>
      <c r="I41" s="2125" t="str">
        <f t="shared" si="2"/>
        <v>Biodigestão RT1C + CDR TM</v>
      </c>
      <c r="J41" s="2125" t="str">
        <f t="shared" si="2"/>
        <v>Compostagem + CDR TM</v>
      </c>
      <c r="K41" s="2125" t="str">
        <f t="shared" si="2"/>
        <v xml:space="preserve">Biosecagem + CDR TMB </v>
      </c>
      <c r="L41" s="2125" t="str">
        <f t="shared" si="2"/>
        <v>Incineração Mass Burning</v>
      </c>
      <c r="M41" s="2125" t="str">
        <f t="shared" si="2"/>
        <v>Incineração Mass Burn. Descentralizada</v>
      </c>
      <c r="N41" s="2122"/>
      <c r="O41" s="1955"/>
      <c r="P41" s="1955"/>
      <c r="Q41" s="1955"/>
      <c r="R41" s="1955"/>
      <c r="S41" s="1955"/>
      <c r="T41" s="1955"/>
      <c r="U41" s="1955"/>
      <c r="V41" s="1955"/>
      <c r="W41" s="1955"/>
      <c r="X41" s="1955"/>
    </row>
    <row r="42" spans="1:24" s="2070" customFormat="1" ht="18" customHeight="1" x14ac:dyDescent="0.25">
      <c r="A42" s="1955"/>
      <c r="B42" s="1933" t="s">
        <v>1131</v>
      </c>
      <c r="C42" s="2126" t="s">
        <v>1132</v>
      </c>
      <c r="D42" s="1934"/>
      <c r="E42" s="2127">
        <f>IF(('CO2 - Início'!$E$55+'CO2 - Início'!$E$56)=1,'CO2 - Cálculos'!D124+'CO2 - Cálculos'!D125,"wrong")</f>
        <v>8.291091360066142</v>
      </c>
      <c r="F42" s="2128"/>
      <c r="G42" s="2127">
        <f>IF(('CO2 - Início'!$E$55+'CO2 - Início'!$E$56)=1,'CO2 - Cálculos'!E124+'CO2 - Cálculos'!E125,"wrong")</f>
        <v>7.9645539506654801</v>
      </c>
      <c r="H42" s="2127">
        <f>IF(('CO2 - Início'!$E$55+'CO2 - Início'!$E$56)=1,'CO2 - Cálculos'!G124+'CO2 - Cálculos'!G125,"wrong")</f>
        <v>7.9645539506654801</v>
      </c>
      <c r="I42" s="2127">
        <f>IF(('CO2 - Início'!$E$55+'CO2 - Início'!$E$56)=1,'CO2 - Cálculos'!H124+'CO2 - Cálculos'!H125,"wrong")</f>
        <v>7.9645539506654801</v>
      </c>
      <c r="J42" s="2127">
        <f>IF(('CO2 - Início'!$E$55+'CO2 - Início'!$E$56)=1,'CO2 - Cálculos'!H124+'CO2 - Cálculos'!H125,"wrong")</f>
        <v>7.9645539506654801</v>
      </c>
      <c r="K42" s="2127">
        <f>IF(('CO2 - Início'!$E$55+'CO2 - Início'!$E$56)=1,'CO2 - Cálculos'!I124+'CO2 - Cálculos'!I125,"wrong")</f>
        <v>7.9645539506654801</v>
      </c>
      <c r="L42" s="2127">
        <f>IF(('CO2 - Início'!$E$55+'CO2 - Início'!$E$56)=1,'CO2 - Cálculos'!I124+'CO2 - Cálculos'!I125,"wrong")</f>
        <v>7.9645539506654801</v>
      </c>
      <c r="M42" s="2127">
        <f>IF(('CO2 - Início'!$E$55+'CO2 - Início'!$E$56)=1,'CO2 - Cálculos'!J124+'CO2 - Cálculos'!J125,"wrong")</f>
        <v>7.9645539506654801</v>
      </c>
      <c r="N42" s="2122"/>
      <c r="O42" s="1955"/>
      <c r="P42" s="1955"/>
      <c r="Q42" s="1955"/>
      <c r="R42" s="1955"/>
      <c r="S42" s="1955"/>
      <c r="T42" s="1955"/>
      <c r="U42" s="1955"/>
      <c r="V42" s="1955"/>
      <c r="W42" s="1955"/>
      <c r="X42" s="1955"/>
    </row>
    <row r="43" spans="1:24" s="2070" customFormat="1" ht="18" customHeight="1" x14ac:dyDescent="0.25">
      <c r="A43" s="1955"/>
      <c r="B43" s="1933" t="s">
        <v>1133</v>
      </c>
      <c r="C43" s="2126" t="s">
        <v>1187</v>
      </c>
      <c r="D43" s="1934"/>
      <c r="E43" s="2129">
        <f>+'CO2 - Cálculos'!D119</f>
        <v>0.26732337742868956</v>
      </c>
      <c r="F43" s="2130"/>
      <c r="G43" s="2129">
        <f>+'CO2 - Cálculos'!E119</f>
        <v>0.26011406397538944</v>
      </c>
      <c r="H43" s="2129">
        <f>+'CO2 - Cálculos'!G119</f>
        <v>0.26011406397538944</v>
      </c>
      <c r="I43" s="2129">
        <f>+'CO2 - Cálculos'!H119</f>
        <v>0.26011406397538944</v>
      </c>
      <c r="J43" s="2129">
        <f>+'CO2 - Cálculos'!H119</f>
        <v>0.26011406397538944</v>
      </c>
      <c r="K43" s="2129">
        <f>+'CO2 - Cálculos'!I119</f>
        <v>0.26011406397538944</v>
      </c>
      <c r="L43" s="2129">
        <f>+'CO2 - Cálculos'!I119</f>
        <v>0.26011406397538944</v>
      </c>
      <c r="M43" s="2129">
        <f>+'CO2 - Cálculos'!J119</f>
        <v>0.26011406397538944</v>
      </c>
      <c r="N43" s="2122"/>
      <c r="O43" s="1955"/>
      <c r="P43" s="1955"/>
      <c r="Q43" s="1955"/>
      <c r="R43" s="1955"/>
      <c r="S43" s="1955"/>
      <c r="T43" s="1955"/>
      <c r="U43" s="1955"/>
      <c r="V43" s="1955"/>
      <c r="W43" s="1955"/>
      <c r="X43" s="1955"/>
    </row>
    <row r="44" spans="1:24" s="2070" customFormat="1" ht="18" customHeight="1" x14ac:dyDescent="0.25">
      <c r="A44" s="1955"/>
      <c r="B44" s="1933" t="s">
        <v>1134</v>
      </c>
      <c r="C44" s="2126" t="s">
        <v>1187</v>
      </c>
      <c r="D44" s="1934"/>
      <c r="E44" s="2129">
        <f>+'CO2 - Cálculos'!D120</f>
        <v>0.10246513642000825</v>
      </c>
      <c r="F44" s="2130"/>
      <c r="G44" s="2129">
        <f>+'CO2 - Cálculos'!E120</f>
        <v>9.6614717142294707E-2</v>
      </c>
      <c r="H44" s="2129">
        <f>+'CO2 - Cálculos'!G120</f>
        <v>9.6614717142294707E-2</v>
      </c>
      <c r="I44" s="2129">
        <f>+'CO2 - Cálculos'!H120</f>
        <v>9.6614717142294707E-2</v>
      </c>
      <c r="J44" s="2129">
        <f>+'CO2 - Cálculos'!H120</f>
        <v>9.6614717142294707E-2</v>
      </c>
      <c r="K44" s="2129">
        <f>+'CO2 - Cálculos'!I120</f>
        <v>9.6614717142294707E-2</v>
      </c>
      <c r="L44" s="2129">
        <f>+'CO2 - Cálculos'!I120</f>
        <v>9.6614717142294707E-2</v>
      </c>
      <c r="M44" s="2129">
        <f>+'CO2 - Cálculos'!J120</f>
        <v>9.6614717142294707E-2</v>
      </c>
      <c r="N44" s="2122"/>
      <c r="O44" s="1955"/>
      <c r="P44" s="1955"/>
      <c r="Q44" s="1955"/>
      <c r="R44" s="1955"/>
      <c r="S44" s="1955"/>
      <c r="T44" s="1955"/>
      <c r="U44" s="1955"/>
      <c r="V44" s="1955"/>
      <c r="W44" s="1955"/>
      <c r="X44" s="1955"/>
    </row>
    <row r="45" spans="1:24" s="2070" customFormat="1" ht="18" customHeight="1" x14ac:dyDescent="0.25">
      <c r="A45" s="1955"/>
      <c r="B45" s="1933" t="s">
        <v>1135</v>
      </c>
      <c r="C45" s="2126" t="s">
        <v>1187</v>
      </c>
      <c r="D45" s="1934"/>
      <c r="E45" s="2129">
        <f>+'CO2 - Cálculos'!D121</f>
        <v>0.16485824100868129</v>
      </c>
      <c r="F45" s="2130"/>
      <c r="G45" s="2129">
        <f>+'CO2 - Cálculos'!E121</f>
        <v>0.16349934683309475</v>
      </c>
      <c r="H45" s="2129">
        <f>+'CO2 - Cálculos'!G121</f>
        <v>0.16349934683309475</v>
      </c>
      <c r="I45" s="2129">
        <f>+'CO2 - Cálculos'!H121</f>
        <v>0.16349934683309475</v>
      </c>
      <c r="J45" s="2129">
        <f>+'CO2 - Cálculos'!H121</f>
        <v>0.16349934683309475</v>
      </c>
      <c r="K45" s="2129">
        <f>+'CO2 - Cálculos'!I121</f>
        <v>0.16349934683309475</v>
      </c>
      <c r="L45" s="2129">
        <f>+'CO2 - Cálculos'!I121</f>
        <v>0.16349934683309475</v>
      </c>
      <c r="M45" s="2129">
        <f>+'CO2 - Cálculos'!J121</f>
        <v>0.16349934683309475</v>
      </c>
      <c r="N45" s="2122"/>
      <c r="O45" s="1955"/>
      <c r="P45" s="1955"/>
      <c r="Q45" s="1955"/>
      <c r="R45" s="1955"/>
      <c r="S45" s="1955"/>
      <c r="T45" s="1955"/>
      <c r="U45" s="1955"/>
      <c r="V45" s="1955"/>
      <c r="W45" s="1955"/>
      <c r="X45" s="1955"/>
    </row>
    <row r="46" spans="1:24" s="2070" customFormat="1" ht="18" customHeight="1" x14ac:dyDescent="0.25">
      <c r="A46" s="1955"/>
      <c r="B46" s="1949"/>
      <c r="C46" s="1950"/>
      <c r="D46" s="1950"/>
      <c r="E46" s="1950"/>
      <c r="F46" s="1950"/>
      <c r="G46" s="1950"/>
      <c r="H46" s="1950"/>
      <c r="I46" s="1950"/>
      <c r="J46" s="1950"/>
      <c r="K46" s="1950"/>
      <c r="L46" s="1950"/>
      <c r="M46" s="1950"/>
      <c r="N46" s="2131"/>
      <c r="O46" s="1955"/>
      <c r="P46" s="1955"/>
      <c r="Q46" s="1955"/>
      <c r="R46" s="1955"/>
      <c r="S46" s="1955"/>
      <c r="T46" s="1955"/>
      <c r="U46" s="1955"/>
      <c r="V46" s="1955"/>
      <c r="W46" s="1955"/>
      <c r="X46" s="1955"/>
    </row>
    <row r="47" spans="1:24" x14ac:dyDescent="0.2">
      <c r="A47" s="1888"/>
      <c r="B47" s="1888"/>
      <c r="C47" s="1888"/>
      <c r="D47" s="1888"/>
      <c r="E47" s="1888"/>
      <c r="F47" s="1888"/>
      <c r="G47" s="1888"/>
      <c r="H47" s="1888"/>
      <c r="I47" s="1888"/>
      <c r="J47" s="1888"/>
      <c r="K47" s="1888"/>
      <c r="L47" s="1888"/>
      <c r="M47" s="1888"/>
      <c r="N47" s="1888"/>
      <c r="O47" s="1888"/>
      <c r="P47" s="1888"/>
      <c r="Q47" s="1888"/>
      <c r="R47" s="1888"/>
      <c r="S47" s="1888"/>
      <c r="T47" s="1888"/>
      <c r="U47" s="1888"/>
      <c r="V47" s="1888"/>
      <c r="W47" s="1888"/>
      <c r="X47" s="1888"/>
    </row>
    <row r="48" spans="1:24" x14ac:dyDescent="0.2">
      <c r="A48" s="1888"/>
      <c r="B48" s="1888"/>
      <c r="C48" s="1888"/>
      <c r="D48" s="1888"/>
      <c r="E48" s="1888"/>
      <c r="F48" s="1888"/>
      <c r="G48" s="1888"/>
      <c r="H48" s="1888"/>
      <c r="I48" s="1888"/>
      <c r="J48" s="1888"/>
      <c r="K48" s="1888"/>
      <c r="L48" s="1888"/>
      <c r="M48" s="1888"/>
      <c r="N48" s="1888"/>
      <c r="O48" s="1888"/>
      <c r="P48" s="1888"/>
      <c r="Q48" s="1888"/>
      <c r="R48" s="1888"/>
      <c r="S48" s="1888"/>
      <c r="T48" s="1888"/>
      <c r="U48" s="1888"/>
      <c r="V48" s="1888"/>
      <c r="W48" s="1888"/>
      <c r="X48" s="1888"/>
    </row>
    <row r="49" spans="1:24" x14ac:dyDescent="0.2">
      <c r="A49" s="1888"/>
      <c r="B49" s="1888"/>
      <c r="C49" s="1888"/>
      <c r="D49" s="1888"/>
      <c r="E49" s="1888"/>
      <c r="F49" s="1888"/>
      <c r="G49" s="1888"/>
      <c r="H49" s="1888"/>
      <c r="I49" s="1888"/>
      <c r="J49" s="1888"/>
      <c r="K49" s="1888"/>
      <c r="L49" s="1888"/>
      <c r="M49" s="1888"/>
      <c r="N49" s="1888"/>
      <c r="O49" s="1888"/>
      <c r="P49" s="1888"/>
      <c r="Q49" s="1888"/>
      <c r="R49" s="1888"/>
      <c r="S49" s="1888"/>
      <c r="T49" s="1888"/>
      <c r="U49" s="1888"/>
      <c r="V49" s="1888"/>
      <c r="W49" s="1888"/>
      <c r="X49" s="1888"/>
    </row>
    <row r="50" spans="1:24" x14ac:dyDescent="0.2">
      <c r="A50" s="1888"/>
      <c r="B50" s="1888"/>
      <c r="C50" s="1888"/>
      <c r="D50" s="1888"/>
      <c r="E50" s="1888"/>
      <c r="F50" s="1888"/>
      <c r="G50" s="1888"/>
      <c r="H50" s="1888"/>
      <c r="I50" s="1888"/>
      <c r="J50" s="1888"/>
      <c r="K50" s="1888"/>
      <c r="L50" s="1888"/>
      <c r="M50" s="1888"/>
      <c r="N50" s="1888"/>
      <c r="O50" s="1888"/>
      <c r="P50" s="1888"/>
      <c r="Q50" s="1888"/>
      <c r="R50" s="1888"/>
      <c r="S50" s="1888"/>
      <c r="T50" s="1888"/>
      <c r="U50" s="1888"/>
      <c r="V50" s="1888"/>
      <c r="W50" s="1888"/>
      <c r="X50" s="1888"/>
    </row>
    <row r="51" spans="1:24" x14ac:dyDescent="0.2">
      <c r="A51" s="1888"/>
      <c r="B51" s="1888"/>
      <c r="C51" s="1888"/>
      <c r="D51" s="1888"/>
      <c r="E51" s="1888"/>
      <c r="F51" s="1888"/>
      <c r="G51" s="1888"/>
      <c r="H51" s="1888"/>
      <c r="I51" s="1888"/>
      <c r="J51" s="1888"/>
      <c r="K51" s="1888"/>
      <c r="L51" s="1888"/>
      <c r="M51" s="1888"/>
      <c r="N51" s="1888"/>
      <c r="O51" s="1888"/>
      <c r="P51" s="1888"/>
      <c r="Q51" s="1888"/>
      <c r="R51" s="1888"/>
      <c r="S51" s="1888"/>
      <c r="T51" s="1888"/>
      <c r="U51" s="1888"/>
      <c r="V51" s="1888"/>
      <c r="W51" s="1888"/>
      <c r="X51" s="1888"/>
    </row>
    <row r="52" spans="1:24" x14ac:dyDescent="0.2">
      <c r="A52" s="1888"/>
      <c r="B52" s="1888"/>
      <c r="C52" s="1888"/>
      <c r="D52" s="1888"/>
      <c r="E52" s="1888"/>
      <c r="F52" s="1888"/>
      <c r="G52" s="1888"/>
      <c r="H52" s="1888"/>
      <c r="I52" s="1888"/>
      <c r="J52" s="1888"/>
      <c r="K52" s="1888"/>
      <c r="L52" s="1888"/>
      <c r="M52" s="1888"/>
      <c r="N52" s="1888"/>
      <c r="O52" s="1888"/>
      <c r="P52" s="1888"/>
      <c r="Q52" s="1888"/>
      <c r="R52" s="1888"/>
      <c r="S52" s="1888"/>
      <c r="T52" s="1888"/>
      <c r="U52" s="1888"/>
      <c r="V52" s="1888"/>
      <c r="W52" s="1888"/>
      <c r="X52" s="1888"/>
    </row>
    <row r="53" spans="1:24" x14ac:dyDescent="0.2">
      <c r="A53" s="1888"/>
      <c r="B53" s="1888"/>
      <c r="C53" s="1888"/>
      <c r="D53" s="1888"/>
      <c r="E53" s="1888"/>
      <c r="F53" s="1888"/>
      <c r="G53" s="1888"/>
      <c r="H53" s="1888"/>
      <c r="I53" s="1888"/>
      <c r="J53" s="1888"/>
      <c r="K53" s="1888"/>
      <c r="L53" s="1888"/>
      <c r="M53" s="1888"/>
      <c r="N53" s="1888"/>
      <c r="O53" s="1888"/>
      <c r="P53" s="1888"/>
      <c r="Q53" s="1888"/>
      <c r="R53" s="1888"/>
      <c r="S53" s="1888"/>
      <c r="T53" s="1888"/>
      <c r="U53" s="1888"/>
      <c r="V53" s="1888"/>
      <c r="W53" s="1888"/>
      <c r="X53" s="1888"/>
    </row>
    <row r="54" spans="1:24" x14ac:dyDescent="0.2">
      <c r="A54" s="1888"/>
      <c r="B54" s="1888"/>
      <c r="C54" s="1888"/>
      <c r="D54" s="1888"/>
      <c r="E54" s="1888"/>
      <c r="F54" s="1888"/>
      <c r="G54" s="1888"/>
      <c r="H54" s="1888"/>
      <c r="I54" s="1888"/>
      <c r="J54" s="1888"/>
      <c r="K54" s="1888"/>
      <c r="L54" s="1888"/>
      <c r="M54" s="1888"/>
      <c r="N54" s="1888"/>
      <c r="O54" s="1888"/>
      <c r="P54" s="1888"/>
      <c r="Q54" s="1888"/>
      <c r="R54" s="1888"/>
      <c r="S54" s="1888"/>
      <c r="T54" s="1888"/>
      <c r="U54" s="1888"/>
      <c r="V54" s="1888"/>
      <c r="W54" s="1888"/>
      <c r="X54" s="1888"/>
    </row>
    <row r="55" spans="1:24" x14ac:dyDescent="0.2">
      <c r="A55" s="1888"/>
      <c r="B55" s="1888"/>
      <c r="C55" s="1888"/>
      <c r="D55" s="1888"/>
      <c r="E55" s="1888"/>
      <c r="F55" s="1888"/>
      <c r="G55" s="1888"/>
      <c r="H55" s="1888"/>
      <c r="I55" s="1888"/>
      <c r="J55" s="1888"/>
      <c r="K55" s="1888"/>
      <c r="L55" s="1888"/>
      <c r="M55" s="1888"/>
      <c r="N55" s="1888"/>
      <c r="O55" s="1888"/>
      <c r="P55" s="1888"/>
      <c r="Q55" s="1888"/>
      <c r="R55" s="1888"/>
      <c r="S55" s="1888"/>
      <c r="T55" s="1888"/>
      <c r="U55" s="1888"/>
      <c r="V55" s="1888"/>
      <c r="W55" s="1888"/>
      <c r="X55" s="1888"/>
    </row>
    <row r="56" spans="1:24" x14ac:dyDescent="0.2">
      <c r="A56" s="1888"/>
      <c r="B56" s="1888"/>
      <c r="C56" s="1888"/>
      <c r="D56" s="1888"/>
      <c r="E56" s="1888"/>
      <c r="F56" s="1888"/>
      <c r="G56" s="1888"/>
      <c r="H56" s="1888"/>
      <c r="I56" s="1888"/>
      <c r="J56" s="1888"/>
      <c r="K56" s="1888"/>
      <c r="L56" s="1888"/>
      <c r="M56" s="1888"/>
      <c r="N56" s="1888"/>
      <c r="O56" s="1888"/>
      <c r="P56" s="1888"/>
      <c r="Q56" s="1888"/>
      <c r="R56" s="1888"/>
      <c r="S56" s="1888"/>
      <c r="T56" s="1888"/>
      <c r="U56" s="1888"/>
      <c r="V56" s="1888"/>
      <c r="W56" s="1888"/>
      <c r="X56" s="1888"/>
    </row>
    <row r="57" spans="1:24" x14ac:dyDescent="0.2">
      <c r="A57" s="1888"/>
      <c r="B57" s="1888"/>
      <c r="C57" s="1888"/>
      <c r="D57" s="1888"/>
      <c r="E57" s="1888"/>
      <c r="F57" s="1888"/>
      <c r="G57" s="1888"/>
      <c r="H57" s="1888"/>
      <c r="I57" s="1888"/>
      <c r="J57" s="1888"/>
      <c r="K57" s="1888"/>
      <c r="L57" s="1888"/>
      <c r="M57" s="1888"/>
      <c r="N57" s="1888"/>
      <c r="O57" s="1888"/>
      <c r="P57" s="1888"/>
      <c r="Q57" s="1888"/>
      <c r="R57" s="1888"/>
      <c r="S57" s="1888"/>
      <c r="T57" s="1888"/>
      <c r="U57" s="1888"/>
      <c r="V57" s="1888"/>
      <c r="W57" s="1888"/>
      <c r="X57" s="1888"/>
    </row>
    <row r="58" spans="1:24" x14ac:dyDescent="0.2">
      <c r="A58" s="1888"/>
      <c r="B58" s="1888"/>
      <c r="C58" s="1888"/>
      <c r="D58" s="1888"/>
      <c r="E58" s="1888"/>
      <c r="F58" s="1888"/>
      <c r="G58" s="1888"/>
      <c r="H58" s="1888"/>
      <c r="I58" s="1888"/>
      <c r="J58" s="1888"/>
      <c r="K58" s="1888"/>
      <c r="L58" s="1888"/>
      <c r="M58" s="1888"/>
      <c r="N58" s="1888"/>
      <c r="O58" s="1888"/>
      <c r="P58" s="1888"/>
      <c r="Q58" s="1888"/>
      <c r="R58" s="1888"/>
      <c r="S58" s="1888"/>
      <c r="T58" s="1888"/>
      <c r="U58" s="1888"/>
      <c r="V58" s="1888"/>
      <c r="W58" s="1888"/>
      <c r="X58" s="1888"/>
    </row>
    <row r="59" spans="1:24" x14ac:dyDescent="0.2">
      <c r="A59" s="1888"/>
      <c r="B59" s="1888"/>
      <c r="C59" s="1888"/>
      <c r="D59" s="1888"/>
      <c r="E59" s="1888"/>
      <c r="F59" s="1888"/>
      <c r="G59" s="1888"/>
      <c r="H59" s="1888"/>
      <c r="I59" s="1888"/>
      <c r="J59" s="1888"/>
      <c r="K59" s="1888"/>
      <c r="L59" s="1888"/>
      <c r="M59" s="1888"/>
      <c r="N59" s="1888"/>
      <c r="O59" s="1888"/>
      <c r="P59" s="1888"/>
      <c r="Q59" s="1888"/>
      <c r="R59" s="1888"/>
      <c r="S59" s="1888"/>
      <c r="T59" s="1888"/>
      <c r="U59" s="1888"/>
      <c r="V59" s="1888"/>
      <c r="W59" s="1888"/>
      <c r="X59" s="1888"/>
    </row>
    <row r="60" spans="1:24" x14ac:dyDescent="0.2">
      <c r="A60" s="1888"/>
      <c r="B60" s="1888"/>
      <c r="C60" s="1888"/>
      <c r="D60" s="1888"/>
      <c r="E60" s="1888"/>
      <c r="F60" s="1888"/>
      <c r="G60" s="1888"/>
      <c r="H60" s="1888"/>
      <c r="I60" s="1888"/>
      <c r="J60" s="1888"/>
      <c r="K60" s="1888"/>
      <c r="L60" s="1888"/>
      <c r="M60" s="1888"/>
      <c r="N60" s="1888"/>
      <c r="O60" s="1888"/>
      <c r="P60" s="1888"/>
      <c r="Q60" s="1888"/>
      <c r="R60" s="1888"/>
      <c r="S60" s="1888"/>
      <c r="T60" s="1888"/>
      <c r="U60" s="1888"/>
      <c r="V60" s="1888"/>
      <c r="W60" s="1888"/>
      <c r="X60" s="1888"/>
    </row>
    <row r="61" spans="1:24" x14ac:dyDescent="0.2">
      <c r="A61" s="1888"/>
      <c r="B61" s="1888"/>
      <c r="C61" s="1888"/>
      <c r="D61" s="1888"/>
      <c r="E61" s="1888"/>
      <c r="F61" s="1888"/>
      <c r="G61" s="1888"/>
      <c r="H61" s="1888"/>
      <c r="I61" s="1888"/>
      <c r="J61" s="1888"/>
      <c r="K61" s="1888"/>
      <c r="L61" s="1888"/>
      <c r="M61" s="1888"/>
      <c r="N61" s="1888"/>
      <c r="O61" s="1888"/>
      <c r="P61" s="1888"/>
      <c r="Q61" s="1888"/>
      <c r="R61" s="1888"/>
      <c r="S61" s="1888"/>
      <c r="T61" s="1888"/>
      <c r="U61" s="1888"/>
      <c r="V61" s="1888"/>
      <c r="W61" s="1888"/>
      <c r="X61" s="1888"/>
    </row>
    <row r="62" spans="1:24" x14ac:dyDescent="0.2">
      <c r="A62" s="1888"/>
      <c r="B62" s="1888"/>
      <c r="C62" s="1888"/>
      <c r="D62" s="1888"/>
      <c r="E62" s="1888"/>
      <c r="F62" s="1888"/>
      <c r="G62" s="1888"/>
      <c r="H62" s="1888"/>
      <c r="I62" s="1888"/>
      <c r="J62" s="1888"/>
      <c r="K62" s="1888"/>
      <c r="L62" s="1888"/>
      <c r="M62" s="1888"/>
      <c r="N62" s="1888"/>
      <c r="O62" s="1888"/>
      <c r="P62" s="1888"/>
      <c r="Q62" s="1888"/>
      <c r="R62" s="1888"/>
      <c r="S62" s="1888"/>
      <c r="T62" s="1888"/>
      <c r="U62" s="1888"/>
      <c r="V62" s="1888"/>
      <c r="W62" s="1888"/>
      <c r="X62" s="1888"/>
    </row>
    <row r="63" spans="1:24" x14ac:dyDescent="0.2">
      <c r="A63" s="1888"/>
      <c r="B63" s="1888"/>
      <c r="C63" s="1888"/>
      <c r="D63" s="1888"/>
      <c r="E63" s="1888"/>
      <c r="F63" s="1888"/>
      <c r="G63" s="1888"/>
      <c r="H63" s="1888"/>
      <c r="I63" s="1888"/>
      <c r="J63" s="1888"/>
      <c r="K63" s="1888"/>
      <c r="L63" s="1888"/>
      <c r="M63" s="1888"/>
      <c r="N63" s="1888"/>
      <c r="O63" s="1888"/>
      <c r="P63" s="1888"/>
      <c r="Q63" s="1888"/>
      <c r="R63" s="1888"/>
      <c r="S63" s="1888"/>
      <c r="T63" s="1888"/>
      <c r="U63" s="1888"/>
      <c r="V63" s="1888"/>
      <c r="W63" s="1888"/>
      <c r="X63" s="1888"/>
    </row>
    <row r="64" spans="1:24" x14ac:dyDescent="0.2">
      <c r="A64" s="1888"/>
      <c r="B64" s="1888"/>
      <c r="C64" s="1888"/>
      <c r="D64" s="1888"/>
      <c r="E64" s="1888"/>
      <c r="F64" s="1888"/>
      <c r="G64" s="1888"/>
      <c r="H64" s="1888"/>
      <c r="I64" s="1888"/>
      <c r="J64" s="1888"/>
      <c r="K64" s="1888"/>
      <c r="L64" s="1888"/>
      <c r="M64" s="1888"/>
      <c r="N64" s="1888"/>
      <c r="O64" s="1888"/>
      <c r="P64" s="1888"/>
      <c r="Q64" s="1888"/>
      <c r="R64" s="1888"/>
      <c r="S64" s="1888"/>
      <c r="T64" s="1888"/>
      <c r="U64" s="1888"/>
      <c r="V64" s="1888"/>
      <c r="W64" s="1888"/>
      <c r="X64" s="1888"/>
    </row>
    <row r="65" spans="1:24" x14ac:dyDescent="0.2">
      <c r="A65" s="1888"/>
      <c r="B65" s="1888"/>
      <c r="C65" s="1888"/>
      <c r="D65" s="1888"/>
      <c r="E65" s="1888"/>
      <c r="F65" s="1888"/>
      <c r="G65" s="1888"/>
      <c r="H65" s="1888"/>
      <c r="I65" s="1888"/>
      <c r="J65" s="1888"/>
      <c r="K65" s="1888"/>
      <c r="L65" s="1888"/>
      <c r="M65" s="1888"/>
      <c r="N65" s="1888"/>
      <c r="O65" s="1888"/>
      <c r="P65" s="1888"/>
      <c r="Q65" s="1888"/>
      <c r="R65" s="1888"/>
      <c r="S65" s="1888"/>
      <c r="T65" s="1888"/>
      <c r="U65" s="1888"/>
      <c r="V65" s="1888"/>
      <c r="W65" s="1888"/>
      <c r="X65" s="1888"/>
    </row>
    <row r="66" spans="1:24" x14ac:dyDescent="0.2">
      <c r="A66" s="1888"/>
      <c r="B66" s="1888"/>
      <c r="C66" s="1888"/>
      <c r="D66" s="1888"/>
      <c r="E66" s="1888"/>
      <c r="F66" s="1888"/>
      <c r="G66" s="1888"/>
      <c r="H66" s="1888"/>
      <c r="I66" s="1888"/>
      <c r="J66" s="1888"/>
      <c r="K66" s="1888"/>
      <c r="L66" s="1888"/>
      <c r="M66" s="1888"/>
      <c r="N66" s="1888"/>
      <c r="O66" s="1888"/>
      <c r="P66" s="1888"/>
      <c r="Q66" s="1888"/>
      <c r="R66" s="1888"/>
      <c r="S66" s="1888"/>
      <c r="T66" s="1888"/>
      <c r="U66" s="1888"/>
      <c r="V66" s="1888"/>
      <c r="W66" s="1888"/>
      <c r="X66" s="1888"/>
    </row>
    <row r="67" spans="1:24" x14ac:dyDescent="0.2">
      <c r="A67" s="1888"/>
      <c r="B67" s="1888"/>
      <c r="C67" s="1888"/>
      <c r="D67" s="1888"/>
      <c r="E67" s="1888"/>
      <c r="F67" s="1888"/>
      <c r="G67" s="1888"/>
      <c r="H67" s="1888"/>
      <c r="I67" s="1888"/>
      <c r="J67" s="1888"/>
      <c r="K67" s="1888"/>
      <c r="L67" s="1888"/>
      <c r="M67" s="1888"/>
      <c r="N67" s="1888"/>
      <c r="O67" s="1888"/>
      <c r="P67" s="1888"/>
      <c r="Q67" s="1888"/>
      <c r="R67" s="1888"/>
      <c r="S67" s="1888"/>
      <c r="T67" s="1888"/>
      <c r="U67" s="1888"/>
      <c r="V67" s="1888"/>
      <c r="W67" s="1888"/>
      <c r="X67" s="1888"/>
    </row>
    <row r="68" spans="1:24" x14ac:dyDescent="0.2">
      <c r="A68" s="1888"/>
      <c r="B68" s="1888"/>
      <c r="C68" s="1888"/>
      <c r="D68" s="1888"/>
      <c r="E68" s="1888"/>
      <c r="F68" s="1888"/>
      <c r="G68" s="1888"/>
      <c r="H68" s="1888"/>
      <c r="I68" s="1888"/>
      <c r="J68" s="1888"/>
      <c r="K68" s="1888"/>
      <c r="L68" s="1888"/>
      <c r="M68" s="1888"/>
      <c r="N68" s="1888"/>
      <c r="O68" s="1888"/>
      <c r="P68" s="1888"/>
      <c r="Q68" s="1888"/>
      <c r="R68" s="1888"/>
      <c r="S68" s="1888"/>
      <c r="T68" s="1888"/>
      <c r="U68" s="1888"/>
      <c r="V68" s="1888"/>
      <c r="W68" s="1888"/>
      <c r="X68" s="1888"/>
    </row>
    <row r="69" spans="1:24" x14ac:dyDescent="0.2">
      <c r="A69" s="1888"/>
      <c r="B69" s="1888"/>
      <c r="C69" s="1888"/>
      <c r="D69" s="1888"/>
      <c r="E69" s="1888"/>
      <c r="F69" s="1888"/>
      <c r="G69" s="1888"/>
      <c r="H69" s="1888"/>
      <c r="I69" s="1888"/>
      <c r="J69" s="1888"/>
      <c r="K69" s="1888"/>
      <c r="L69" s="1888"/>
      <c r="M69" s="1888"/>
      <c r="N69" s="1888"/>
      <c r="O69" s="1888"/>
      <c r="P69" s="1888"/>
      <c r="Q69" s="1888"/>
      <c r="R69" s="1888"/>
      <c r="S69" s="1888"/>
      <c r="T69" s="1888"/>
      <c r="U69" s="1888"/>
      <c r="V69" s="1888"/>
      <c r="W69" s="1888"/>
      <c r="X69" s="1888"/>
    </row>
    <row r="70" spans="1:24" x14ac:dyDescent="0.2">
      <c r="A70" s="1888"/>
      <c r="B70" s="1888"/>
      <c r="C70" s="1888"/>
      <c r="D70" s="1888"/>
      <c r="E70" s="1888"/>
      <c r="F70" s="1888"/>
      <c r="G70" s="1888"/>
      <c r="H70" s="1888"/>
      <c r="I70" s="1888"/>
      <c r="J70" s="1888"/>
      <c r="K70" s="1888"/>
      <c r="L70" s="1888"/>
      <c r="M70" s="1888"/>
      <c r="N70" s="1888"/>
      <c r="O70" s="1888"/>
      <c r="P70" s="1888"/>
      <c r="Q70" s="1888"/>
      <c r="R70" s="1888"/>
      <c r="S70" s="1888"/>
      <c r="T70" s="1888"/>
      <c r="U70" s="1888"/>
      <c r="V70" s="1888"/>
      <c r="W70" s="1888"/>
      <c r="X70" s="1888"/>
    </row>
    <row r="71" spans="1:24" x14ac:dyDescent="0.2">
      <c r="A71" s="1888"/>
      <c r="B71" s="1888"/>
      <c r="C71" s="1888"/>
      <c r="D71" s="1888"/>
      <c r="E71" s="1888"/>
      <c r="F71" s="1888"/>
      <c r="G71" s="1888"/>
      <c r="H71" s="1888"/>
      <c r="I71" s="1888"/>
      <c r="J71" s="1888"/>
      <c r="K71" s="1888"/>
      <c r="L71" s="1888"/>
      <c r="M71" s="1888"/>
      <c r="N71" s="1888"/>
      <c r="O71" s="1888"/>
      <c r="P71" s="1888"/>
      <c r="Q71" s="1888"/>
      <c r="R71" s="1888"/>
      <c r="S71" s="1888"/>
      <c r="T71" s="1888"/>
      <c r="U71" s="1888"/>
      <c r="V71" s="1888"/>
      <c r="W71" s="1888"/>
      <c r="X71" s="1888"/>
    </row>
    <row r="72" spans="1:24" x14ac:dyDescent="0.2">
      <c r="A72" s="1888"/>
      <c r="B72" s="1888"/>
      <c r="C72" s="1888"/>
      <c r="D72" s="1888"/>
      <c r="E72" s="1888"/>
      <c r="F72" s="1888"/>
      <c r="G72" s="1888"/>
      <c r="H72" s="1888"/>
      <c r="I72" s="1888"/>
      <c r="J72" s="1888"/>
      <c r="K72" s="1888"/>
      <c r="L72" s="1888"/>
      <c r="M72" s="1888"/>
      <c r="N72" s="1888"/>
      <c r="O72" s="1888"/>
      <c r="P72" s="1888"/>
      <c r="Q72" s="1888"/>
      <c r="R72" s="1888"/>
      <c r="S72" s="1888"/>
      <c r="T72" s="1888"/>
      <c r="U72" s="1888"/>
      <c r="V72" s="1888"/>
      <c r="W72" s="1888"/>
      <c r="X72" s="1888"/>
    </row>
    <row r="73" spans="1:24" x14ac:dyDescent="0.2">
      <c r="A73" s="1888"/>
      <c r="B73" s="1888"/>
      <c r="C73" s="1888"/>
      <c r="D73" s="1888"/>
      <c r="E73" s="1888"/>
      <c r="F73" s="1888"/>
      <c r="G73" s="1888"/>
      <c r="H73" s="1888"/>
      <c r="I73" s="1888"/>
      <c r="J73" s="1888"/>
      <c r="K73" s="1888"/>
      <c r="L73" s="1888"/>
      <c r="M73" s="1888"/>
      <c r="N73" s="1888"/>
      <c r="O73" s="1888"/>
      <c r="P73" s="1888"/>
      <c r="Q73" s="1888"/>
      <c r="R73" s="1888"/>
      <c r="S73" s="1888"/>
      <c r="T73" s="1888"/>
      <c r="U73" s="1888"/>
      <c r="V73" s="1888"/>
      <c r="W73" s="1888"/>
      <c r="X73" s="1888"/>
    </row>
    <row r="74" spans="1:24" x14ac:dyDescent="0.2">
      <c r="A74" s="1888"/>
      <c r="B74" s="1888"/>
      <c r="C74" s="1888"/>
      <c r="D74" s="1888"/>
      <c r="E74" s="1888"/>
      <c r="F74" s="1888"/>
      <c r="G74" s="1888"/>
      <c r="H74" s="1888"/>
      <c r="I74" s="1888"/>
      <c r="J74" s="1888"/>
      <c r="K74" s="1888"/>
      <c r="L74" s="1888"/>
      <c r="M74" s="1888"/>
      <c r="N74" s="1888"/>
      <c r="O74" s="1888"/>
      <c r="P74" s="1888"/>
      <c r="Q74" s="1888"/>
      <c r="R74" s="1888"/>
      <c r="S74" s="1888"/>
      <c r="T74" s="1888"/>
      <c r="U74" s="1888"/>
      <c r="V74" s="1888"/>
      <c r="W74" s="1888"/>
      <c r="X74" s="1888"/>
    </row>
    <row r="75" spans="1:24" x14ac:dyDescent="0.2">
      <c r="A75" s="1888"/>
      <c r="B75" s="1888"/>
      <c r="C75" s="1888"/>
      <c r="D75" s="1888"/>
      <c r="E75" s="1888"/>
      <c r="F75" s="1888"/>
      <c r="G75" s="1888"/>
      <c r="H75" s="1888"/>
      <c r="I75" s="1888"/>
      <c r="J75" s="1888"/>
      <c r="K75" s="1888"/>
      <c r="L75" s="1888"/>
      <c r="M75" s="1888"/>
      <c r="N75" s="1888"/>
      <c r="O75" s="1888"/>
      <c r="P75" s="1888"/>
      <c r="Q75" s="1888"/>
      <c r="R75" s="1888"/>
      <c r="S75" s="1888"/>
      <c r="T75" s="1888"/>
      <c r="U75" s="1888"/>
      <c r="V75" s="1888"/>
      <c r="W75" s="1888"/>
      <c r="X75" s="1888"/>
    </row>
    <row r="76" spans="1:24" x14ac:dyDescent="0.2">
      <c r="A76" s="1888"/>
      <c r="B76" s="1888"/>
      <c r="C76" s="1888"/>
      <c r="D76" s="1888"/>
      <c r="E76" s="1888"/>
      <c r="F76" s="1888"/>
      <c r="G76" s="1888"/>
      <c r="H76" s="1888"/>
      <c r="I76" s="1888"/>
      <c r="J76" s="1888"/>
      <c r="K76" s="1888"/>
      <c r="L76" s="1888"/>
      <c r="M76" s="1888"/>
      <c r="N76" s="1888"/>
      <c r="O76" s="1888"/>
      <c r="P76" s="1888"/>
      <c r="Q76" s="1888"/>
      <c r="R76" s="1888"/>
      <c r="S76" s="1888"/>
      <c r="T76" s="1888"/>
      <c r="U76" s="1888"/>
      <c r="V76" s="1888"/>
      <c r="W76" s="1888"/>
      <c r="X76" s="1888"/>
    </row>
    <row r="77" spans="1:24" x14ac:dyDescent="0.2">
      <c r="A77" s="1888"/>
      <c r="B77" s="1888"/>
      <c r="C77" s="1888"/>
      <c r="D77" s="1888"/>
      <c r="E77" s="1888"/>
      <c r="F77" s="1888"/>
      <c r="G77" s="1888"/>
      <c r="H77" s="1888"/>
      <c r="I77" s="1888"/>
      <c r="J77" s="1888"/>
      <c r="K77" s="1888"/>
      <c r="L77" s="1888"/>
      <c r="M77" s="1888"/>
      <c r="N77" s="1888"/>
      <c r="O77" s="1888"/>
      <c r="P77" s="1888"/>
      <c r="Q77" s="1888"/>
      <c r="R77" s="1888"/>
      <c r="S77" s="1888"/>
      <c r="T77" s="1888"/>
      <c r="U77" s="1888"/>
      <c r="V77" s="1888"/>
      <c r="W77" s="1888"/>
      <c r="X77" s="1888"/>
    </row>
    <row r="78" spans="1:24" x14ac:dyDescent="0.2">
      <c r="A78" s="1888"/>
      <c r="B78" s="1888"/>
      <c r="C78" s="1888"/>
      <c r="D78" s="1888"/>
      <c r="E78" s="1888"/>
      <c r="F78" s="1888"/>
      <c r="G78" s="1888"/>
      <c r="H78" s="1888"/>
      <c r="I78" s="1888"/>
      <c r="J78" s="1888"/>
      <c r="K78" s="1888"/>
      <c r="L78" s="1888"/>
      <c r="M78" s="1888"/>
      <c r="N78" s="1888"/>
      <c r="O78" s="1888"/>
      <c r="P78" s="1888"/>
      <c r="Q78" s="1888"/>
      <c r="R78" s="1888"/>
      <c r="S78" s="1888"/>
      <c r="T78" s="1888"/>
      <c r="U78" s="1888"/>
      <c r="V78" s="1888"/>
      <c r="W78" s="1888"/>
      <c r="X78" s="1888"/>
    </row>
    <row r="79" spans="1:24" x14ac:dyDescent="0.2">
      <c r="A79" s="1888"/>
      <c r="B79" s="1888"/>
      <c r="C79" s="1888"/>
      <c r="D79" s="1888"/>
      <c r="E79" s="1888"/>
      <c r="F79" s="1888"/>
      <c r="G79" s="1888"/>
      <c r="H79" s="1888"/>
      <c r="I79" s="1888"/>
      <c r="J79" s="1888"/>
      <c r="K79" s="1888"/>
      <c r="L79" s="1888"/>
      <c r="M79" s="1888"/>
      <c r="N79" s="1888"/>
      <c r="O79" s="1888"/>
      <c r="P79" s="1888"/>
      <c r="Q79" s="1888"/>
      <c r="R79" s="1888"/>
      <c r="S79" s="1888"/>
      <c r="T79" s="1888"/>
      <c r="U79" s="1888"/>
      <c r="V79" s="1888"/>
      <c r="W79" s="1888"/>
      <c r="X79" s="1888"/>
    </row>
    <row r="80" spans="1:24" x14ac:dyDescent="0.2">
      <c r="A80" s="1888"/>
      <c r="B80" s="1888"/>
      <c r="C80" s="1888"/>
      <c r="D80" s="1888"/>
      <c r="E80" s="1888"/>
      <c r="F80" s="1888"/>
      <c r="G80" s="1888"/>
      <c r="H80" s="1888"/>
      <c r="I80" s="1888"/>
      <c r="J80" s="1888"/>
      <c r="K80" s="1888"/>
      <c r="L80" s="1888"/>
      <c r="M80" s="1888"/>
      <c r="N80" s="1888"/>
      <c r="O80" s="1888"/>
      <c r="P80" s="1888"/>
      <c r="Q80" s="1888"/>
      <c r="R80" s="1888"/>
      <c r="S80" s="1888"/>
      <c r="T80" s="1888"/>
      <c r="U80" s="1888"/>
      <c r="V80" s="1888"/>
      <c r="W80" s="1888"/>
      <c r="X80" s="1888"/>
    </row>
    <row r="81" spans="1:24" x14ac:dyDescent="0.2">
      <c r="A81" s="1888"/>
      <c r="B81" s="1888"/>
      <c r="C81" s="1888"/>
      <c r="D81" s="1888"/>
      <c r="E81" s="1888"/>
      <c r="F81" s="1888"/>
      <c r="G81" s="1888"/>
      <c r="H81" s="1888"/>
      <c r="I81" s="1888"/>
      <c r="J81" s="1888"/>
      <c r="K81" s="1888"/>
      <c r="L81" s="1888"/>
      <c r="M81" s="1888"/>
      <c r="N81" s="1888"/>
      <c r="O81" s="1888"/>
      <c r="P81" s="1888"/>
      <c r="Q81" s="1888"/>
      <c r="R81" s="1888"/>
      <c r="S81" s="1888"/>
      <c r="T81" s="1888"/>
      <c r="U81" s="1888"/>
      <c r="V81" s="1888"/>
      <c r="W81" s="1888"/>
      <c r="X81" s="1888"/>
    </row>
    <row r="82" spans="1:24" x14ac:dyDescent="0.2">
      <c r="A82" s="1888"/>
      <c r="B82" s="1888"/>
      <c r="C82" s="1888"/>
      <c r="D82" s="1888"/>
      <c r="E82" s="1888"/>
      <c r="F82" s="1888"/>
      <c r="G82" s="1888"/>
      <c r="H82" s="1888"/>
      <c r="I82" s="1888"/>
      <c r="J82" s="1888"/>
      <c r="K82" s="1888"/>
      <c r="L82" s="1888"/>
      <c r="M82" s="1888"/>
      <c r="N82" s="1888"/>
      <c r="O82" s="1888"/>
      <c r="P82" s="1888"/>
      <c r="Q82" s="1888"/>
      <c r="R82" s="1888"/>
      <c r="S82" s="1888"/>
      <c r="T82" s="1888"/>
      <c r="U82" s="1888"/>
      <c r="V82" s="1888"/>
      <c r="W82" s="1888"/>
      <c r="X82" s="1888"/>
    </row>
    <row r="83" spans="1:24" x14ac:dyDescent="0.2">
      <c r="A83" s="1888"/>
      <c r="B83" s="1888"/>
      <c r="C83" s="1888"/>
      <c r="D83" s="1888"/>
      <c r="E83" s="1888"/>
      <c r="F83" s="1888"/>
      <c r="G83" s="1888"/>
      <c r="H83" s="1888"/>
      <c r="I83" s="1888"/>
      <c r="J83" s="1888"/>
      <c r="K83" s="1888"/>
      <c r="L83" s="1888"/>
      <c r="M83" s="1888"/>
      <c r="N83" s="1888"/>
      <c r="O83" s="1888"/>
      <c r="P83" s="1888"/>
      <c r="Q83" s="1888"/>
      <c r="R83" s="1888"/>
      <c r="S83" s="1888"/>
      <c r="T83" s="1888"/>
      <c r="U83" s="1888"/>
      <c r="V83" s="1888"/>
      <c r="W83" s="1888"/>
      <c r="X83" s="1888"/>
    </row>
    <row r="84" spans="1:24" x14ac:dyDescent="0.2">
      <c r="A84" s="1888"/>
      <c r="B84" s="1888"/>
      <c r="C84" s="1888"/>
      <c r="D84" s="1888"/>
      <c r="E84" s="1888"/>
      <c r="F84" s="1888"/>
      <c r="G84" s="1888"/>
      <c r="H84" s="1888"/>
      <c r="I84" s="1888"/>
      <c r="J84" s="1888"/>
      <c r="K84" s="1888"/>
      <c r="L84" s="1888"/>
      <c r="M84" s="1888"/>
      <c r="N84" s="1888"/>
      <c r="O84" s="1888"/>
      <c r="P84" s="1888"/>
      <c r="Q84" s="1888"/>
      <c r="R84" s="1888"/>
      <c r="S84" s="1888"/>
      <c r="T84" s="1888"/>
      <c r="U84" s="1888"/>
      <c r="V84" s="1888"/>
      <c r="W84" s="1888"/>
      <c r="X84" s="1888"/>
    </row>
    <row r="85" spans="1:24" x14ac:dyDescent="0.2">
      <c r="A85" s="1888"/>
      <c r="B85" s="1888"/>
      <c r="C85" s="1888"/>
      <c r="D85" s="1888"/>
      <c r="E85" s="1888"/>
      <c r="F85" s="1888"/>
      <c r="G85" s="1888"/>
      <c r="H85" s="1888"/>
      <c r="I85" s="1888"/>
      <c r="J85" s="1888"/>
      <c r="K85" s="1888"/>
      <c r="L85" s="1888"/>
      <c r="M85" s="1888"/>
      <c r="N85" s="1888"/>
      <c r="O85" s="1888"/>
      <c r="P85" s="1888"/>
      <c r="Q85" s="1888"/>
      <c r="R85" s="1888"/>
      <c r="S85" s="1888"/>
      <c r="T85" s="1888"/>
      <c r="U85" s="1888"/>
      <c r="V85" s="1888"/>
      <c r="W85" s="1888"/>
      <c r="X85" s="1888"/>
    </row>
    <row r="86" spans="1:24" x14ac:dyDescent="0.2">
      <c r="A86" s="1888"/>
      <c r="B86" s="1888"/>
      <c r="C86" s="1888"/>
      <c r="D86" s="1888"/>
      <c r="E86" s="1888"/>
      <c r="F86" s="1888"/>
      <c r="G86" s="1888"/>
      <c r="H86" s="1888"/>
      <c r="I86" s="1888"/>
      <c r="J86" s="1888"/>
      <c r="K86" s="1888"/>
      <c r="L86" s="1888"/>
      <c r="M86" s="1888"/>
      <c r="N86" s="1888"/>
      <c r="O86" s="1888"/>
      <c r="P86" s="1888"/>
      <c r="Q86" s="1888"/>
      <c r="R86" s="1888"/>
      <c r="S86" s="1888"/>
      <c r="T86" s="1888"/>
      <c r="U86" s="1888"/>
      <c r="V86" s="1888"/>
      <c r="W86" s="1888"/>
      <c r="X86" s="1888"/>
    </row>
    <row r="87" spans="1:24" x14ac:dyDescent="0.2">
      <c r="A87" s="1888"/>
      <c r="B87" s="1888"/>
      <c r="C87" s="1888"/>
      <c r="D87" s="1888"/>
      <c r="E87" s="1888"/>
      <c r="F87" s="1888"/>
      <c r="G87" s="1888"/>
      <c r="H87" s="1888"/>
      <c r="I87" s="1888"/>
      <c r="J87" s="1888"/>
      <c r="K87" s="1888"/>
      <c r="L87" s="1888"/>
      <c r="M87" s="1888"/>
      <c r="N87" s="1888"/>
      <c r="O87" s="1888"/>
      <c r="P87" s="1888"/>
      <c r="Q87" s="1888"/>
      <c r="R87" s="1888"/>
      <c r="S87" s="1888"/>
      <c r="T87" s="1888"/>
      <c r="U87" s="1888"/>
      <c r="V87" s="1888"/>
      <c r="W87" s="1888"/>
      <c r="X87" s="1888"/>
    </row>
    <row r="88" spans="1:24" x14ac:dyDescent="0.2">
      <c r="A88" s="1888"/>
      <c r="B88" s="1888"/>
      <c r="C88" s="1888"/>
      <c r="D88" s="1888"/>
      <c r="E88" s="1888"/>
      <c r="F88" s="1888"/>
      <c r="G88" s="1888"/>
      <c r="H88" s="1888"/>
      <c r="I88" s="1888"/>
      <c r="J88" s="1888"/>
      <c r="K88" s="1888"/>
      <c r="L88" s="1888"/>
      <c r="M88" s="1888"/>
      <c r="N88" s="1888"/>
      <c r="O88" s="1888"/>
      <c r="P88" s="1888"/>
      <c r="Q88" s="1888"/>
      <c r="R88" s="1888"/>
      <c r="S88" s="1888"/>
      <c r="T88" s="1888"/>
      <c r="U88" s="1888"/>
      <c r="V88" s="1888"/>
      <c r="W88" s="1888"/>
      <c r="X88" s="1888"/>
    </row>
    <row r="89" spans="1:24" x14ac:dyDescent="0.2">
      <c r="A89" s="1888"/>
      <c r="B89" s="1888"/>
      <c r="C89" s="1888"/>
      <c r="D89" s="1888"/>
      <c r="E89" s="1888"/>
      <c r="F89" s="1888"/>
      <c r="G89" s="1888"/>
      <c r="H89" s="1888"/>
      <c r="I89" s="1888"/>
      <c r="J89" s="1888"/>
      <c r="K89" s="1888"/>
      <c r="L89" s="1888"/>
      <c r="M89" s="1888"/>
      <c r="N89" s="1888"/>
      <c r="O89" s="1888"/>
      <c r="P89" s="1888"/>
      <c r="Q89" s="1888"/>
      <c r="R89" s="1888"/>
      <c r="S89" s="1888"/>
      <c r="T89" s="1888"/>
      <c r="U89" s="1888"/>
      <c r="V89" s="1888"/>
      <c r="W89" s="1888"/>
      <c r="X89" s="1888"/>
    </row>
    <row r="90" spans="1:24" x14ac:dyDescent="0.2">
      <c r="A90" s="1888"/>
      <c r="B90" s="1888"/>
      <c r="C90" s="1888"/>
      <c r="D90" s="1888"/>
      <c r="E90" s="1888"/>
      <c r="F90" s="1888"/>
      <c r="G90" s="1888"/>
      <c r="H90" s="1888"/>
      <c r="I90" s="1888"/>
      <c r="J90" s="1888"/>
      <c r="K90" s="1888"/>
      <c r="L90" s="1888"/>
      <c r="M90" s="1888"/>
      <c r="N90" s="1888"/>
      <c r="O90" s="1888"/>
      <c r="P90" s="1888"/>
      <c r="Q90" s="1888"/>
      <c r="R90" s="1888"/>
      <c r="S90" s="1888"/>
      <c r="T90" s="1888"/>
      <c r="U90" s="1888"/>
      <c r="V90" s="1888"/>
      <c r="W90" s="1888"/>
      <c r="X90" s="1888"/>
    </row>
    <row r="91" spans="1:24" x14ac:dyDescent="0.2">
      <c r="A91" s="1888"/>
      <c r="B91" s="1888"/>
      <c r="C91" s="1888"/>
      <c r="D91" s="1888"/>
      <c r="E91" s="1888"/>
      <c r="F91" s="1888"/>
      <c r="G91" s="1888"/>
      <c r="H91" s="1888"/>
      <c r="I91" s="1888"/>
      <c r="J91" s="1888"/>
      <c r="K91" s="1888"/>
      <c r="L91" s="1888"/>
      <c r="M91" s="1888"/>
      <c r="N91" s="1888"/>
      <c r="O91" s="1888"/>
      <c r="P91" s="1888"/>
      <c r="Q91" s="1888"/>
      <c r="R91" s="1888"/>
      <c r="S91" s="1888"/>
      <c r="T91" s="1888"/>
      <c r="U91" s="1888"/>
      <c r="V91" s="1888"/>
      <c r="W91" s="1888"/>
      <c r="X91" s="1888"/>
    </row>
    <row r="92" spans="1:24" x14ac:dyDescent="0.2">
      <c r="A92" s="1888"/>
      <c r="B92" s="1888"/>
      <c r="C92" s="1888"/>
      <c r="D92" s="1888"/>
      <c r="E92" s="1888"/>
      <c r="F92" s="1888"/>
      <c r="G92" s="1888"/>
      <c r="H92" s="1888"/>
      <c r="I92" s="1888"/>
      <c r="J92" s="1888"/>
      <c r="K92" s="1888"/>
      <c r="L92" s="1888"/>
      <c r="M92" s="1888"/>
      <c r="N92" s="1888"/>
      <c r="O92" s="1888"/>
      <c r="P92" s="1888"/>
      <c r="Q92" s="1888"/>
      <c r="R92" s="1888"/>
      <c r="S92" s="1888"/>
      <c r="T92" s="1888"/>
      <c r="U92" s="1888"/>
      <c r="V92" s="1888"/>
      <c r="W92" s="1888"/>
      <c r="X92" s="1888"/>
    </row>
    <row r="93" spans="1:24" x14ac:dyDescent="0.2">
      <c r="A93" s="1888"/>
      <c r="B93" s="1888"/>
      <c r="C93" s="1888"/>
      <c r="D93" s="1888"/>
      <c r="E93" s="1888"/>
      <c r="F93" s="1888"/>
      <c r="G93" s="1888"/>
      <c r="H93" s="1888"/>
      <c r="I93" s="1888"/>
      <c r="J93" s="1888"/>
      <c r="K93" s="1888"/>
      <c r="L93" s="1888"/>
      <c r="M93" s="1888"/>
      <c r="N93" s="1888"/>
      <c r="O93" s="1888"/>
      <c r="P93" s="1888"/>
      <c r="Q93" s="1888"/>
      <c r="R93" s="1888"/>
      <c r="S93" s="1888"/>
      <c r="T93" s="1888"/>
      <c r="U93" s="1888"/>
      <c r="V93" s="1888"/>
      <c r="W93" s="1888"/>
      <c r="X93" s="1888"/>
    </row>
    <row r="94" spans="1:24" x14ac:dyDescent="0.2">
      <c r="A94" s="1888"/>
      <c r="B94" s="1888"/>
      <c r="C94" s="1888"/>
      <c r="D94" s="1888"/>
      <c r="E94" s="1888"/>
      <c r="F94" s="1888"/>
      <c r="G94" s="1888"/>
      <c r="H94" s="1888"/>
      <c r="I94" s="1888"/>
      <c r="J94" s="1888"/>
      <c r="K94" s="1888"/>
      <c r="L94" s="1888"/>
      <c r="M94" s="1888"/>
      <c r="N94" s="1888"/>
      <c r="O94" s="1888"/>
      <c r="P94" s="1888"/>
      <c r="Q94" s="1888"/>
      <c r="R94" s="1888"/>
      <c r="S94" s="1888"/>
      <c r="T94" s="1888"/>
      <c r="U94" s="1888"/>
      <c r="V94" s="1888"/>
      <c r="W94" s="1888"/>
      <c r="X94" s="1888"/>
    </row>
    <row r="95" spans="1:24" x14ac:dyDescent="0.2">
      <c r="A95" s="1888"/>
      <c r="B95" s="1888"/>
      <c r="C95" s="1888"/>
      <c r="D95" s="1888"/>
      <c r="E95" s="1888"/>
      <c r="F95" s="1888"/>
      <c r="G95" s="1888"/>
      <c r="H95" s="1888"/>
      <c r="I95" s="1888"/>
      <c r="J95" s="1888"/>
      <c r="K95" s="1888"/>
      <c r="L95" s="1888"/>
      <c r="M95" s="1888"/>
      <c r="N95" s="1888"/>
      <c r="O95" s="1888"/>
      <c r="P95" s="1888"/>
      <c r="Q95" s="1888"/>
      <c r="R95" s="1888"/>
      <c r="S95" s="1888"/>
      <c r="T95" s="1888"/>
      <c r="U95" s="1888"/>
      <c r="V95" s="1888"/>
      <c r="W95" s="1888"/>
      <c r="X95" s="1888"/>
    </row>
    <row r="96" spans="1:24" x14ac:dyDescent="0.2">
      <c r="A96" s="1888"/>
      <c r="B96" s="1888"/>
      <c r="C96" s="1888"/>
      <c r="D96" s="1888"/>
      <c r="E96" s="1888"/>
      <c r="F96" s="1888"/>
      <c r="G96" s="1888"/>
      <c r="H96" s="1888"/>
      <c r="I96" s="1888"/>
      <c r="J96" s="1888"/>
      <c r="K96" s="1888"/>
      <c r="L96" s="1888"/>
      <c r="M96" s="1888"/>
      <c r="N96" s="1888"/>
      <c r="O96" s="1888"/>
      <c r="P96" s="1888"/>
      <c r="Q96" s="1888"/>
      <c r="R96" s="1888"/>
      <c r="S96" s="1888"/>
      <c r="T96" s="1888"/>
      <c r="U96" s="1888"/>
      <c r="V96" s="1888"/>
      <c r="W96" s="1888"/>
      <c r="X96" s="1888"/>
    </row>
    <row r="97" spans="1:24" x14ac:dyDescent="0.2">
      <c r="A97" s="1888"/>
      <c r="B97" s="1888"/>
      <c r="C97" s="1888"/>
      <c r="D97" s="1888"/>
      <c r="E97" s="1888"/>
      <c r="F97" s="1888"/>
      <c r="G97" s="1888"/>
      <c r="H97" s="1888"/>
      <c r="I97" s="1888"/>
      <c r="J97" s="1888"/>
      <c r="K97" s="1888"/>
      <c r="L97" s="1888"/>
      <c r="M97" s="1888"/>
      <c r="N97" s="1888"/>
      <c r="O97" s="1888"/>
      <c r="P97" s="1888"/>
      <c r="Q97" s="1888"/>
      <c r="R97" s="1888"/>
      <c r="S97" s="1888"/>
      <c r="T97" s="1888"/>
      <c r="U97" s="1888"/>
      <c r="V97" s="1888"/>
      <c r="W97" s="1888"/>
      <c r="X97" s="1888"/>
    </row>
    <row r="98" spans="1:24" x14ac:dyDescent="0.2">
      <c r="A98" s="1888"/>
      <c r="B98" s="1888"/>
      <c r="C98" s="1888"/>
      <c r="D98" s="1888"/>
      <c r="E98" s="1888"/>
      <c r="F98" s="1888"/>
      <c r="G98" s="1888"/>
      <c r="H98" s="1888"/>
      <c r="I98" s="1888"/>
      <c r="J98" s="1888"/>
      <c r="K98" s="1888"/>
      <c r="L98" s="1888"/>
      <c r="M98" s="1888"/>
      <c r="N98" s="1888"/>
      <c r="O98" s="1888"/>
      <c r="P98" s="1888"/>
      <c r="Q98" s="1888"/>
      <c r="R98" s="1888"/>
      <c r="S98" s="1888"/>
      <c r="T98" s="1888"/>
      <c r="U98" s="1888"/>
      <c r="V98" s="1888"/>
      <c r="W98" s="1888"/>
      <c r="X98" s="1888"/>
    </row>
    <row r="99" spans="1:24" x14ac:dyDescent="0.2">
      <c r="A99" s="1888"/>
      <c r="B99" s="1888"/>
      <c r="C99" s="1888"/>
      <c r="D99" s="1888"/>
      <c r="E99" s="1888"/>
      <c r="F99" s="1888"/>
      <c r="G99" s="1888"/>
      <c r="H99" s="1888"/>
      <c r="I99" s="1888"/>
      <c r="J99" s="1888"/>
      <c r="K99" s="1888"/>
      <c r="L99" s="1888"/>
      <c r="M99" s="1888"/>
      <c r="N99" s="1888"/>
      <c r="O99" s="1888"/>
      <c r="P99" s="1888"/>
      <c r="Q99" s="1888"/>
      <c r="R99" s="1888"/>
      <c r="S99" s="1888"/>
      <c r="T99" s="1888"/>
      <c r="U99" s="1888"/>
      <c r="V99" s="1888"/>
      <c r="W99" s="1888"/>
      <c r="X99" s="1888"/>
    </row>
    <row r="100" spans="1:24"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c r="U100" s="1888"/>
      <c r="V100" s="1888"/>
      <c r="W100" s="1888"/>
      <c r="X100" s="1888"/>
    </row>
    <row r="101" spans="1:24"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c r="U101" s="1888"/>
      <c r="V101" s="1888"/>
      <c r="W101" s="1888"/>
      <c r="X101" s="1888"/>
    </row>
    <row r="102" spans="1:24"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c r="U102" s="1888"/>
      <c r="V102" s="1888"/>
      <c r="W102" s="1888"/>
      <c r="X102" s="1888"/>
    </row>
    <row r="103" spans="1:24"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c r="U103" s="1888"/>
      <c r="V103" s="1888"/>
      <c r="W103" s="1888"/>
      <c r="X103" s="1888"/>
    </row>
    <row r="104" spans="1:24"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c r="U104" s="1888"/>
      <c r="V104" s="1888"/>
      <c r="W104" s="1888"/>
      <c r="X104" s="1888"/>
    </row>
    <row r="105" spans="1:24"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c r="U105" s="1888"/>
      <c r="V105" s="1888"/>
      <c r="W105" s="1888"/>
      <c r="X105" s="1888"/>
    </row>
    <row r="106" spans="1:24"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c r="U106" s="1888"/>
      <c r="V106" s="1888"/>
      <c r="W106" s="1888"/>
      <c r="X106" s="1888"/>
    </row>
    <row r="107" spans="1:24"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c r="U107" s="1888"/>
      <c r="V107" s="1888"/>
      <c r="W107" s="1888"/>
      <c r="X107" s="1888"/>
    </row>
    <row r="108" spans="1:24"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c r="U108" s="1888"/>
      <c r="V108" s="1888"/>
      <c r="W108" s="1888"/>
      <c r="X108" s="1888"/>
    </row>
    <row r="109" spans="1:24"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c r="U109" s="1888"/>
      <c r="V109" s="1888"/>
      <c r="W109" s="1888"/>
      <c r="X109" s="1888"/>
    </row>
    <row r="110" spans="1:24"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c r="U110" s="1888"/>
      <c r="V110" s="1888"/>
      <c r="W110" s="1888"/>
      <c r="X110" s="1888"/>
    </row>
    <row r="111" spans="1:24"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c r="U111" s="1888"/>
      <c r="V111" s="1888"/>
      <c r="W111" s="1888"/>
      <c r="X111" s="1888"/>
    </row>
    <row r="112" spans="1:24"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c r="U112" s="1888"/>
      <c r="V112" s="1888"/>
      <c r="W112" s="1888"/>
      <c r="X112" s="1888"/>
    </row>
    <row r="113" spans="1:24"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c r="U113" s="1888"/>
      <c r="V113" s="1888"/>
      <c r="W113" s="1888"/>
      <c r="X113" s="1888"/>
    </row>
    <row r="114" spans="1:24"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c r="U114" s="1888"/>
      <c r="V114" s="1888"/>
      <c r="W114" s="1888"/>
      <c r="X114" s="1888"/>
    </row>
    <row r="115" spans="1:24"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c r="U115" s="1888"/>
      <c r="V115" s="1888"/>
      <c r="W115" s="1888"/>
      <c r="X115" s="1888"/>
    </row>
    <row r="116" spans="1:24"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c r="U116" s="1888"/>
      <c r="V116" s="1888"/>
      <c r="W116" s="1888"/>
      <c r="X116" s="1888"/>
    </row>
    <row r="117" spans="1:24"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c r="U117" s="1888"/>
      <c r="V117" s="1888"/>
      <c r="W117" s="1888"/>
      <c r="X117" s="1888"/>
    </row>
    <row r="118" spans="1:24"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c r="U118" s="1888"/>
      <c r="V118" s="1888"/>
      <c r="W118" s="1888"/>
      <c r="X118" s="1888"/>
    </row>
    <row r="119" spans="1:24"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c r="U119" s="1888"/>
      <c r="V119" s="1888"/>
      <c r="W119" s="1888"/>
      <c r="X119" s="1888"/>
    </row>
    <row r="120" spans="1:24"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c r="U120" s="1888"/>
      <c r="V120" s="1888"/>
      <c r="W120" s="1888"/>
      <c r="X120" s="1888"/>
    </row>
    <row r="121" spans="1:24"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c r="U121" s="1888"/>
      <c r="V121" s="1888"/>
      <c r="W121" s="1888"/>
      <c r="X121" s="1888"/>
    </row>
    <row r="122" spans="1:24" x14ac:dyDescent="0.2">
      <c r="A122" s="1888"/>
      <c r="B122" s="1888"/>
      <c r="C122" s="1888"/>
      <c r="D122" s="1888"/>
      <c r="E122" s="1888"/>
      <c r="F122" s="1888"/>
      <c r="G122" s="1888"/>
      <c r="H122" s="1888"/>
      <c r="I122" s="1888"/>
      <c r="J122" s="1888"/>
      <c r="K122" s="1888"/>
      <c r="L122" s="1888"/>
      <c r="M122" s="1888"/>
      <c r="N122" s="1888"/>
      <c r="O122" s="1888"/>
      <c r="P122" s="1888"/>
      <c r="Q122" s="1888"/>
      <c r="R122" s="1888"/>
      <c r="S122" s="1888"/>
      <c r="T122" s="1888"/>
      <c r="U122" s="1888"/>
      <c r="V122" s="1888"/>
      <c r="W122" s="1888"/>
      <c r="X122" s="1888"/>
    </row>
    <row r="123" spans="1:24" x14ac:dyDescent="0.2">
      <c r="A123" s="1888"/>
      <c r="B123" s="1888"/>
      <c r="C123" s="1888"/>
      <c r="D123" s="1888"/>
      <c r="E123" s="1888"/>
      <c r="F123" s="1888"/>
      <c r="G123" s="1888"/>
      <c r="H123" s="1888"/>
      <c r="I123" s="1888"/>
      <c r="J123" s="1888"/>
      <c r="K123" s="1888"/>
      <c r="L123" s="1888"/>
      <c r="M123" s="1888"/>
      <c r="N123" s="1888"/>
      <c r="O123" s="1888"/>
      <c r="P123" s="1888"/>
      <c r="Q123" s="1888"/>
      <c r="R123" s="1888"/>
      <c r="S123" s="1888"/>
      <c r="T123" s="1888"/>
      <c r="U123" s="1888"/>
      <c r="V123" s="1888"/>
      <c r="W123" s="1888"/>
      <c r="X123" s="1888"/>
    </row>
    <row r="124" spans="1:24" x14ac:dyDescent="0.2">
      <c r="A124" s="1888"/>
      <c r="B124" s="1888"/>
      <c r="C124" s="1888"/>
      <c r="D124" s="1888"/>
      <c r="E124" s="1888"/>
      <c r="F124" s="1888"/>
      <c r="G124" s="1888"/>
      <c r="H124" s="1888"/>
      <c r="I124" s="1888"/>
      <c r="J124" s="1888"/>
      <c r="K124" s="1888"/>
      <c r="L124" s="1888"/>
      <c r="M124" s="1888"/>
      <c r="N124" s="1888"/>
      <c r="O124" s="1888"/>
      <c r="P124" s="1888"/>
      <c r="Q124" s="1888"/>
      <c r="R124" s="1888"/>
      <c r="S124" s="1888"/>
      <c r="T124" s="1888"/>
      <c r="U124" s="1888"/>
      <c r="V124" s="1888"/>
      <c r="W124" s="1888"/>
      <c r="X124" s="1888"/>
    </row>
    <row r="125" spans="1:24" x14ac:dyDescent="0.2">
      <c r="A125" s="1888"/>
      <c r="B125" s="1888"/>
      <c r="C125" s="1888"/>
      <c r="D125" s="1888"/>
      <c r="E125" s="1888"/>
      <c r="F125" s="1888"/>
      <c r="G125" s="1888"/>
      <c r="H125" s="1888"/>
      <c r="I125" s="1888"/>
      <c r="J125" s="1888"/>
      <c r="K125" s="1888"/>
      <c r="L125" s="1888"/>
      <c r="M125" s="1888"/>
      <c r="N125" s="1888"/>
      <c r="O125" s="1888"/>
      <c r="P125" s="1888"/>
      <c r="Q125" s="1888"/>
      <c r="R125" s="1888"/>
      <c r="S125" s="1888"/>
      <c r="T125" s="1888"/>
      <c r="U125" s="1888"/>
      <c r="V125" s="1888"/>
      <c r="W125" s="1888"/>
      <c r="X125" s="1888"/>
    </row>
    <row r="126" spans="1:24" x14ac:dyDescent="0.2">
      <c r="A126" s="1888"/>
      <c r="B126" s="1888"/>
      <c r="C126" s="1888"/>
      <c r="D126" s="1888"/>
      <c r="E126" s="1888"/>
      <c r="F126" s="1888"/>
      <c r="G126" s="1888"/>
      <c r="H126" s="1888"/>
      <c r="I126" s="1888"/>
      <c r="J126" s="1888"/>
      <c r="K126" s="1888"/>
      <c r="L126" s="1888"/>
      <c r="M126" s="1888"/>
      <c r="N126" s="1888"/>
      <c r="O126" s="1888"/>
      <c r="P126" s="1888"/>
      <c r="Q126" s="1888"/>
      <c r="R126" s="1888"/>
      <c r="S126" s="1888"/>
      <c r="T126" s="1888"/>
      <c r="U126" s="1888"/>
      <c r="V126" s="1888"/>
      <c r="W126" s="1888"/>
      <c r="X126" s="1888"/>
    </row>
    <row r="127" spans="1:24" x14ac:dyDescent="0.2">
      <c r="A127" s="1888"/>
      <c r="B127" s="1888"/>
      <c r="C127" s="1888"/>
      <c r="D127" s="1888"/>
      <c r="E127" s="1888"/>
      <c r="F127" s="1888"/>
      <c r="G127" s="1888"/>
      <c r="H127" s="1888"/>
      <c r="I127" s="1888"/>
      <c r="J127" s="1888"/>
      <c r="K127" s="1888"/>
      <c r="L127" s="1888"/>
      <c r="M127" s="1888"/>
      <c r="N127" s="1888"/>
      <c r="O127" s="1888"/>
      <c r="P127" s="1888"/>
      <c r="Q127" s="1888"/>
      <c r="R127" s="1888"/>
      <c r="S127" s="1888"/>
      <c r="T127" s="1888"/>
      <c r="U127" s="1888"/>
      <c r="V127" s="1888"/>
      <c r="W127" s="1888"/>
      <c r="X127" s="1888"/>
    </row>
    <row r="128" spans="1:24" x14ac:dyDescent="0.2">
      <c r="A128" s="1888"/>
      <c r="B128" s="1888"/>
      <c r="C128" s="1888"/>
      <c r="D128" s="1888"/>
      <c r="E128" s="1888"/>
      <c r="F128" s="1888"/>
      <c r="G128" s="1888"/>
      <c r="H128" s="1888"/>
      <c r="I128" s="1888"/>
      <c r="J128" s="1888"/>
      <c r="K128" s="1888"/>
      <c r="L128" s="1888"/>
      <c r="M128" s="1888"/>
      <c r="N128" s="1888"/>
      <c r="O128" s="1888"/>
      <c r="P128" s="1888"/>
      <c r="Q128" s="1888"/>
      <c r="R128" s="1888"/>
      <c r="S128" s="1888"/>
      <c r="T128" s="1888"/>
      <c r="U128" s="1888"/>
      <c r="V128" s="1888"/>
      <c r="W128" s="1888"/>
      <c r="X128" s="1888"/>
    </row>
    <row r="129" spans="1:24" x14ac:dyDescent="0.2">
      <c r="A129" s="1888"/>
      <c r="B129" s="1888"/>
      <c r="C129" s="1888"/>
      <c r="D129" s="1888"/>
      <c r="E129" s="1888"/>
      <c r="F129" s="1888"/>
      <c r="G129" s="1888"/>
      <c r="H129" s="1888"/>
      <c r="I129" s="1888"/>
      <c r="J129" s="1888"/>
      <c r="K129" s="1888"/>
      <c r="L129" s="1888"/>
      <c r="M129" s="1888"/>
      <c r="N129" s="1888"/>
      <c r="O129" s="1888"/>
      <c r="P129" s="1888"/>
      <c r="Q129" s="1888"/>
      <c r="R129" s="1888"/>
      <c r="S129" s="1888"/>
      <c r="T129" s="1888"/>
      <c r="U129" s="1888"/>
      <c r="V129" s="1888"/>
      <c r="W129" s="1888"/>
      <c r="X129" s="1888"/>
    </row>
    <row r="130" spans="1:24" x14ac:dyDescent="0.2">
      <c r="A130" s="1888"/>
      <c r="B130" s="1888"/>
      <c r="C130" s="1888"/>
      <c r="D130" s="1888"/>
      <c r="E130" s="1888"/>
      <c r="F130" s="1888"/>
      <c r="G130" s="1888"/>
      <c r="H130" s="1888"/>
      <c r="I130" s="1888"/>
      <c r="J130" s="1888"/>
      <c r="K130" s="1888"/>
      <c r="L130" s="1888"/>
      <c r="M130" s="1888"/>
      <c r="N130" s="1888"/>
      <c r="O130" s="1888"/>
      <c r="P130" s="1888"/>
      <c r="Q130" s="1888"/>
      <c r="R130" s="1888"/>
      <c r="S130" s="1888"/>
      <c r="T130" s="1888"/>
      <c r="U130" s="1888"/>
      <c r="V130" s="1888"/>
      <c r="W130" s="1888"/>
      <c r="X130" s="1888"/>
    </row>
    <row r="131" spans="1:24" x14ac:dyDescent="0.2">
      <c r="A131" s="1888"/>
      <c r="B131" s="1888"/>
      <c r="C131" s="1888"/>
      <c r="D131" s="1888"/>
      <c r="E131" s="1888"/>
      <c r="F131" s="1888"/>
      <c r="G131" s="1888"/>
      <c r="H131" s="1888"/>
      <c r="I131" s="1888"/>
      <c r="J131" s="1888"/>
      <c r="K131" s="1888"/>
      <c r="L131" s="1888"/>
      <c r="M131" s="1888"/>
      <c r="N131" s="1888"/>
      <c r="O131" s="1888"/>
      <c r="P131" s="1888"/>
      <c r="Q131" s="1888"/>
      <c r="R131" s="1888"/>
      <c r="S131" s="1888"/>
      <c r="T131" s="1888"/>
      <c r="U131" s="1888"/>
      <c r="V131" s="1888"/>
      <c r="W131" s="1888"/>
      <c r="X131" s="1888"/>
    </row>
    <row r="132" spans="1:24" x14ac:dyDescent="0.2">
      <c r="A132" s="1888"/>
      <c r="B132" s="1888"/>
      <c r="C132" s="1888"/>
      <c r="D132" s="1888"/>
      <c r="E132" s="1888"/>
      <c r="F132" s="1888"/>
      <c r="G132" s="1888"/>
      <c r="H132" s="1888"/>
      <c r="I132" s="1888"/>
      <c r="J132" s="1888"/>
      <c r="K132" s="1888"/>
      <c r="L132" s="1888"/>
      <c r="M132" s="1888"/>
      <c r="N132" s="1888"/>
      <c r="O132" s="1888"/>
      <c r="P132" s="1888"/>
      <c r="Q132" s="1888"/>
      <c r="R132" s="1888"/>
      <c r="S132" s="1888"/>
      <c r="T132" s="1888"/>
      <c r="U132" s="1888"/>
      <c r="V132" s="1888"/>
      <c r="W132" s="1888"/>
      <c r="X132" s="1888"/>
    </row>
    <row r="133" spans="1:24" x14ac:dyDescent="0.2">
      <c r="A133" s="1888"/>
      <c r="B133" s="1888"/>
      <c r="C133" s="1888"/>
      <c r="D133" s="1888"/>
      <c r="E133" s="1888"/>
      <c r="F133" s="1888"/>
      <c r="G133" s="1888"/>
      <c r="H133" s="1888"/>
      <c r="I133" s="1888"/>
      <c r="J133" s="1888"/>
      <c r="K133" s="1888"/>
      <c r="L133" s="1888"/>
      <c r="M133" s="1888"/>
      <c r="N133" s="1888"/>
      <c r="T133" s="1888"/>
      <c r="U133" s="1888"/>
      <c r="V133" s="1888"/>
      <c r="W133" s="1888"/>
      <c r="X133" s="1888"/>
    </row>
    <row r="134" spans="1:24" x14ac:dyDescent="0.2">
      <c r="A134" s="1888"/>
      <c r="B134" s="1888"/>
      <c r="C134" s="1888"/>
      <c r="D134" s="1888"/>
      <c r="E134" s="1888"/>
      <c r="F134" s="1888"/>
      <c r="G134" s="1888"/>
      <c r="H134" s="1888"/>
      <c r="I134" s="1888"/>
      <c r="J134" s="1888"/>
      <c r="K134" s="1888"/>
      <c r="L134" s="1888"/>
      <c r="M134" s="1888"/>
      <c r="N134" s="1888"/>
      <c r="T134" s="1888"/>
      <c r="U134" s="1888"/>
      <c r="V134" s="1888"/>
      <c r="W134" s="1888"/>
      <c r="X134" s="1888"/>
    </row>
    <row r="135" spans="1:24" x14ac:dyDescent="0.2">
      <c r="A135" s="1888"/>
      <c r="B135" s="1888"/>
      <c r="C135" s="1888"/>
      <c r="D135" s="1888"/>
      <c r="E135" s="1888"/>
      <c r="F135" s="1888"/>
      <c r="G135" s="1888"/>
      <c r="H135" s="1888"/>
      <c r="I135" s="1888"/>
      <c r="J135" s="1888"/>
      <c r="K135" s="1888"/>
      <c r="L135" s="1888"/>
      <c r="M135" s="1888"/>
      <c r="N135" s="1888"/>
      <c r="T135" s="1888"/>
      <c r="U135" s="1888"/>
      <c r="V135" s="1888"/>
      <c r="W135" s="1888"/>
      <c r="X135" s="1888"/>
    </row>
    <row r="136" spans="1:24" x14ac:dyDescent="0.2">
      <c r="A136" s="1888"/>
      <c r="B136" s="1888"/>
      <c r="C136" s="1888"/>
      <c r="D136" s="1888"/>
      <c r="E136" s="1888"/>
      <c r="F136" s="1888"/>
      <c r="G136" s="1888"/>
      <c r="H136" s="1888"/>
      <c r="I136" s="1888"/>
      <c r="J136" s="1888"/>
      <c r="K136" s="1888"/>
      <c r="L136" s="1888"/>
      <c r="M136" s="1888"/>
      <c r="N136" s="1888"/>
      <c r="T136" s="1888"/>
      <c r="U136" s="1888"/>
      <c r="V136" s="1888"/>
      <c r="W136" s="1888"/>
      <c r="X136" s="1888"/>
    </row>
    <row r="137" spans="1:24" x14ac:dyDescent="0.2">
      <c r="A137" s="1888"/>
      <c r="B137" s="1888"/>
      <c r="C137" s="1888"/>
      <c r="D137" s="1888"/>
      <c r="E137" s="1888"/>
      <c r="F137" s="1888"/>
      <c r="G137" s="1888"/>
      <c r="H137" s="1888"/>
      <c r="I137" s="1888"/>
      <c r="J137" s="1888"/>
      <c r="K137" s="1888"/>
      <c r="L137" s="1888"/>
      <c r="M137" s="1888"/>
      <c r="N137" s="1888"/>
      <c r="T137" s="1888"/>
      <c r="U137" s="1888"/>
      <c r="V137" s="1888"/>
      <c r="W137" s="1888"/>
      <c r="X137" s="1888"/>
    </row>
    <row r="138" spans="1:24" x14ac:dyDescent="0.2">
      <c r="A138" s="1888"/>
      <c r="B138" s="1888"/>
      <c r="C138" s="1888"/>
      <c r="D138" s="1888"/>
      <c r="E138" s="1888"/>
      <c r="F138" s="1888"/>
      <c r="G138" s="1888"/>
      <c r="H138" s="1888"/>
      <c r="I138" s="1888"/>
      <c r="J138" s="1888"/>
      <c r="K138" s="1888"/>
      <c r="L138" s="1888"/>
      <c r="M138" s="1888"/>
      <c r="N138" s="1888"/>
      <c r="T138" s="1888"/>
      <c r="U138" s="1888"/>
      <c r="V138" s="1888"/>
      <c r="W138" s="1888"/>
      <c r="X138" s="1888"/>
    </row>
    <row r="139" spans="1:24" x14ac:dyDescent="0.2">
      <c r="A139" s="1888"/>
      <c r="B139" s="1888"/>
      <c r="C139" s="1888"/>
      <c r="D139" s="1888"/>
      <c r="E139" s="1888"/>
      <c r="F139" s="1888"/>
      <c r="G139" s="1888"/>
      <c r="H139" s="1888"/>
      <c r="I139" s="1888"/>
      <c r="J139" s="1888"/>
      <c r="K139" s="1888"/>
      <c r="L139" s="1888"/>
      <c r="M139" s="1888"/>
      <c r="N139" s="1888"/>
      <c r="T139" s="1888"/>
      <c r="U139" s="1888"/>
      <c r="V139" s="1888"/>
      <c r="W139" s="1888"/>
      <c r="X139" s="1888"/>
    </row>
    <row r="140" spans="1:24" x14ac:dyDescent="0.2">
      <c r="A140" s="1888"/>
      <c r="B140" s="1888"/>
      <c r="C140" s="1888"/>
      <c r="D140" s="1888"/>
      <c r="E140" s="1888"/>
      <c r="F140" s="1888"/>
      <c r="G140" s="1888"/>
      <c r="H140" s="1888"/>
      <c r="I140" s="1888"/>
      <c r="J140" s="1888"/>
      <c r="K140" s="1888"/>
      <c r="L140" s="1888"/>
      <c r="M140" s="1888"/>
      <c r="N140" s="1888"/>
      <c r="T140" s="1888"/>
      <c r="U140" s="1888"/>
      <c r="V140" s="1888"/>
      <c r="W140" s="1888"/>
      <c r="X140" s="1888"/>
    </row>
    <row r="141" spans="1:24" x14ac:dyDescent="0.2">
      <c r="A141" s="1888"/>
      <c r="B141" s="1888"/>
      <c r="C141" s="1888"/>
      <c r="D141" s="1888"/>
      <c r="E141" s="1888"/>
      <c r="F141" s="1888"/>
      <c r="G141" s="1888"/>
      <c r="H141" s="1888"/>
      <c r="I141" s="1888"/>
      <c r="J141" s="1888"/>
      <c r="K141" s="1888"/>
      <c r="L141" s="1888"/>
      <c r="M141" s="1888"/>
      <c r="N141" s="1888"/>
      <c r="T141" s="1888"/>
      <c r="U141" s="1888"/>
      <c r="V141" s="1888"/>
      <c r="W141" s="1888"/>
      <c r="X141" s="1888"/>
    </row>
    <row r="142" spans="1:24" x14ac:dyDescent="0.2">
      <c r="A142" s="1888"/>
      <c r="B142" s="1888"/>
      <c r="C142" s="1888"/>
      <c r="D142" s="1888"/>
      <c r="E142" s="1888"/>
      <c r="F142" s="1888"/>
      <c r="G142" s="1888"/>
      <c r="H142" s="1888"/>
      <c r="I142" s="1888"/>
      <c r="J142" s="1888"/>
      <c r="K142" s="1888"/>
      <c r="L142" s="1888"/>
      <c r="M142" s="1888"/>
      <c r="N142" s="1888"/>
      <c r="T142" s="1888"/>
      <c r="U142" s="1888"/>
      <c r="V142" s="1888"/>
      <c r="W142" s="1888"/>
      <c r="X142" s="1888"/>
    </row>
    <row r="143" spans="1:24" x14ac:dyDescent="0.2">
      <c r="A143" s="1888"/>
      <c r="B143" s="1888"/>
      <c r="C143" s="1888"/>
      <c r="D143" s="1888"/>
      <c r="E143" s="1888"/>
      <c r="F143" s="1888"/>
      <c r="G143" s="1888"/>
      <c r="H143" s="1888"/>
      <c r="I143" s="1888"/>
      <c r="J143" s="1888"/>
      <c r="K143" s="1888"/>
      <c r="L143" s="1888"/>
      <c r="M143" s="1888"/>
      <c r="N143" s="1888"/>
      <c r="T143" s="1888"/>
      <c r="U143" s="1888"/>
      <c r="V143" s="1888"/>
      <c r="W143" s="1888"/>
      <c r="X143" s="1888"/>
    </row>
    <row r="144" spans="1:24" x14ac:dyDescent="0.2">
      <c r="A144" s="1888"/>
      <c r="B144" s="1888"/>
      <c r="C144" s="1888"/>
      <c r="D144" s="1888"/>
      <c r="E144" s="1888"/>
      <c r="F144" s="1888"/>
      <c r="G144" s="1888"/>
      <c r="H144" s="1888"/>
      <c r="I144" s="1888"/>
      <c r="J144" s="1888"/>
      <c r="K144" s="1888"/>
      <c r="L144" s="1888"/>
      <c r="M144" s="1888"/>
      <c r="N144" s="1888"/>
      <c r="T144" s="1888"/>
      <c r="U144" s="1888"/>
      <c r="V144" s="1888"/>
      <c r="W144" s="1888"/>
      <c r="X144" s="1888"/>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BC88E-6600-4FEC-B0CD-D147238FBC3D}">
  <dimension ref="A1:X162"/>
  <sheetViews>
    <sheetView showGridLines="0" zoomScale="90" zoomScaleNormal="90" workbookViewId="0">
      <selection activeCell="L13" sqref="L13"/>
    </sheetView>
  </sheetViews>
  <sheetFormatPr defaultColWidth="11.42578125" defaultRowHeight="12.75" x14ac:dyDescent="0.2"/>
  <cols>
    <col min="1" max="1" width="13.42578125" style="1844" customWidth="1"/>
    <col min="2" max="2" width="45.85546875" style="1844" customWidth="1"/>
    <col min="3" max="3" width="11.42578125" style="1844" customWidth="1"/>
    <col min="4" max="4" width="12.140625" style="1844" customWidth="1"/>
    <col min="5" max="5" width="15.85546875" style="1844" customWidth="1"/>
    <col min="6" max="6" width="1.42578125" style="2225" customWidth="1"/>
    <col min="7" max="13" width="14" style="1844" customWidth="1"/>
    <col min="14" max="16384" width="11.42578125" style="1844"/>
  </cols>
  <sheetData>
    <row r="1" spans="1:24" ht="39.950000000000003" customHeight="1" x14ac:dyDescent="0.25">
      <c r="A1" s="2012" t="s">
        <v>1188</v>
      </c>
      <c r="B1" s="2132"/>
      <c r="C1" s="2132"/>
      <c r="D1" s="1888"/>
      <c r="E1" s="1888"/>
      <c r="F1" s="2133"/>
      <c r="G1" s="2014"/>
      <c r="H1" s="2014"/>
      <c r="I1" s="2014"/>
      <c r="J1" s="1888"/>
      <c r="K1" s="1888"/>
      <c r="L1" s="1888"/>
      <c r="M1" s="1888"/>
      <c r="N1" s="1888"/>
      <c r="O1" s="2134"/>
      <c r="P1" s="1888"/>
      <c r="Q1" s="1888"/>
      <c r="R1" s="1888"/>
      <c r="S1" s="1888"/>
      <c r="T1" s="1888"/>
      <c r="U1" s="1888"/>
      <c r="V1" s="1888"/>
      <c r="W1" s="1888"/>
      <c r="X1" s="1888"/>
    </row>
    <row r="2" spans="1:24" ht="18" x14ac:dyDescent="0.25">
      <c r="A2" s="2135"/>
      <c r="B2" s="1888"/>
      <c r="C2" s="1888"/>
      <c r="D2" s="1888"/>
      <c r="E2" s="1888"/>
      <c r="F2" s="2133"/>
      <c r="G2" s="2014"/>
      <c r="H2" s="2014"/>
      <c r="I2" s="2014"/>
      <c r="J2" s="1888"/>
      <c r="K2" s="1888"/>
      <c r="L2" s="1888"/>
      <c r="M2" s="1888"/>
      <c r="N2" s="1888"/>
      <c r="O2" s="2134"/>
      <c r="P2" s="1888"/>
      <c r="Q2" s="1888"/>
      <c r="R2" s="1888"/>
      <c r="S2" s="1888"/>
      <c r="T2" s="1888"/>
      <c r="U2" s="1888"/>
      <c r="V2" s="1888"/>
      <c r="W2" s="1888"/>
      <c r="X2" s="1888"/>
    </row>
    <row r="3" spans="1:24" ht="14.25" x14ac:dyDescent="0.25">
      <c r="A3" s="1895" t="s">
        <v>1189</v>
      </c>
      <c r="B3" s="1896"/>
      <c r="C3" s="1896"/>
      <c r="D3" s="1896"/>
      <c r="E3" s="2136"/>
      <c r="F3" s="2136"/>
      <c r="G3" s="1896"/>
      <c r="H3" s="1896"/>
      <c r="I3" s="1896"/>
      <c r="J3" s="1896"/>
      <c r="K3" s="1896"/>
      <c r="L3" s="1896"/>
      <c r="M3" s="1896"/>
      <c r="N3" s="1888"/>
      <c r="O3" s="1888"/>
      <c r="P3" s="1888"/>
      <c r="Q3" s="1888"/>
      <c r="R3" s="1888"/>
      <c r="S3" s="1888"/>
      <c r="T3" s="1888"/>
      <c r="U3" s="1888"/>
      <c r="V3" s="1888"/>
      <c r="W3" s="1888"/>
      <c r="X3" s="1888"/>
    </row>
    <row r="4" spans="1:24" ht="14.25" x14ac:dyDescent="0.2">
      <c r="A4" s="1902" t="s">
        <v>1190</v>
      </c>
      <c r="B4" s="1913"/>
      <c r="C4" s="1913"/>
      <c r="D4" s="1913"/>
      <c r="E4" s="1913"/>
      <c r="F4" s="1913"/>
      <c r="G4" s="1913"/>
      <c r="H4" s="1913"/>
      <c r="I4" s="1913"/>
      <c r="J4" s="2137"/>
      <c r="K4" s="1913"/>
      <c r="L4" s="1913"/>
      <c r="M4" s="1913"/>
      <c r="N4" s="2138"/>
      <c r="O4" s="1888"/>
      <c r="P4" s="1888"/>
      <c r="Q4" s="1888"/>
      <c r="R4" s="1888"/>
      <c r="S4" s="1888"/>
      <c r="T4" s="1888"/>
      <c r="U4" s="1888"/>
      <c r="V4" s="1888"/>
      <c r="W4" s="1888"/>
      <c r="X4" s="1888"/>
    </row>
    <row r="5" spans="1:24" ht="39" customHeight="1" x14ac:dyDescent="0.2">
      <c r="A5" s="2137"/>
      <c r="B5" s="1913"/>
      <c r="C5" s="1913"/>
      <c r="D5" s="1913"/>
      <c r="E5" s="2077" t="str">
        <f>+'CO2 - Reciclagem'!E8</f>
        <v>Cenário-Base</v>
      </c>
      <c r="F5" s="2137"/>
      <c r="G5" s="2139" t="str">
        <f>+'CO2 - Reciclagem'!G8</f>
        <v>Biodigestão RT1A + CDR TM</v>
      </c>
      <c r="H5" s="2139" t="str">
        <f>+'CO2 - Reciclagem'!H8</f>
        <v>Biodigestão RT1B + CDR TM</v>
      </c>
      <c r="I5" s="2139" t="str">
        <f>+'CO2 - Reciclagem'!I8</f>
        <v>Biodigestão RT1C + CDR TM</v>
      </c>
      <c r="J5" s="2139" t="str">
        <f>+'CO2 - Reciclagem'!J8</f>
        <v>Compostagem + CDR TM</v>
      </c>
      <c r="K5" s="2139" t="str">
        <f>+'CO2 - Reciclagem'!K8</f>
        <v xml:space="preserve">Biosecagem + CDR TMB </v>
      </c>
      <c r="L5" s="2139" t="str">
        <f>+'CO2 - Reciclagem'!L8</f>
        <v>Incineração Mass Burning</v>
      </c>
      <c r="M5" s="2139" t="str">
        <f>+'CO2 - Reciclagem'!M8</f>
        <v>Incineração Mass Burn. Descentralizada</v>
      </c>
      <c r="N5" s="2138"/>
      <c r="O5" s="2140"/>
      <c r="P5" s="1888"/>
      <c r="Q5" s="1888"/>
      <c r="R5" s="1888"/>
      <c r="S5" s="1888"/>
      <c r="T5" s="1888"/>
      <c r="U5" s="1888"/>
      <c r="V5" s="1888"/>
      <c r="W5" s="1888"/>
      <c r="X5" s="1888"/>
    </row>
    <row r="6" spans="1:24" ht="18" customHeight="1" x14ac:dyDescent="0.2">
      <c r="A6" s="2141"/>
      <c r="B6" s="1959" t="s">
        <v>1191</v>
      </c>
      <c r="C6" s="1915"/>
      <c r="D6" s="1915"/>
      <c r="E6" s="2142" t="s">
        <v>1161</v>
      </c>
      <c r="F6" s="2076"/>
      <c r="G6" s="2142" t="s">
        <v>1161</v>
      </c>
      <c r="H6" s="2142" t="s">
        <v>1161</v>
      </c>
      <c r="I6" s="2142" t="s">
        <v>1161</v>
      </c>
      <c r="J6" s="2142" t="s">
        <v>1161</v>
      </c>
      <c r="K6" s="2142" t="s">
        <v>1161</v>
      </c>
      <c r="L6" s="2142" t="s">
        <v>1161</v>
      </c>
      <c r="M6" s="2142" t="s">
        <v>1161</v>
      </c>
      <c r="N6" s="2143"/>
      <c r="O6" s="2144"/>
      <c r="P6" s="1888"/>
      <c r="Q6" s="1888"/>
      <c r="R6" s="1888"/>
      <c r="S6" s="1888"/>
      <c r="T6" s="1888"/>
      <c r="U6" s="1888"/>
      <c r="V6" s="1888"/>
      <c r="W6" s="1888"/>
      <c r="X6" s="1888"/>
    </row>
    <row r="7" spans="1:24" ht="18" customHeight="1" x14ac:dyDescent="0.2">
      <c r="A7" s="2962" t="s">
        <v>1192</v>
      </c>
      <c r="B7" s="2145" t="s">
        <v>1193</v>
      </c>
      <c r="C7" s="1906"/>
      <c r="D7" s="1907"/>
      <c r="E7" s="1968"/>
      <c r="F7" s="2146"/>
      <c r="G7" s="1968"/>
      <c r="H7" s="1968"/>
      <c r="I7" s="1968"/>
      <c r="J7" s="1968"/>
      <c r="K7" s="1968"/>
      <c r="L7" s="1968"/>
      <c r="M7" s="1968"/>
      <c r="N7" s="1982"/>
      <c r="O7" s="1888"/>
      <c r="P7" s="1888"/>
      <c r="Q7" s="1888"/>
      <c r="R7" s="1888"/>
      <c r="S7" s="1888"/>
      <c r="T7" s="1888"/>
      <c r="U7" s="1888"/>
      <c r="V7" s="1888"/>
      <c r="W7" s="1888"/>
      <c r="X7" s="1888"/>
    </row>
    <row r="8" spans="1:24" ht="18" customHeight="1" x14ac:dyDescent="0.2">
      <c r="A8" s="2963"/>
      <c r="B8" s="2147" t="s">
        <v>1194</v>
      </c>
      <c r="C8" s="2148"/>
      <c r="D8" s="2149"/>
      <c r="E8" s="2150"/>
      <c r="F8" s="2146"/>
      <c r="G8" s="2150"/>
      <c r="H8" s="2150"/>
      <c r="I8" s="2150"/>
      <c r="J8" s="2150"/>
      <c r="K8" s="2150"/>
      <c r="L8" s="2150"/>
      <c r="M8" s="2150"/>
      <c r="N8" s="1888"/>
      <c r="O8" s="1888"/>
      <c r="P8" s="1888"/>
      <c r="Q8" s="1888"/>
      <c r="R8" s="1888"/>
      <c r="S8" s="1888"/>
      <c r="T8" s="1888"/>
      <c r="U8" s="1888"/>
      <c r="V8" s="1888"/>
      <c r="W8" s="1888"/>
      <c r="X8" s="1888"/>
    </row>
    <row r="9" spans="1:24" ht="18" customHeight="1" x14ac:dyDescent="0.2">
      <c r="A9" s="2151"/>
      <c r="B9" s="1902"/>
      <c r="C9" s="2152"/>
      <c r="D9" s="1913"/>
      <c r="E9" s="2153"/>
      <c r="F9" s="2146"/>
      <c r="G9" s="2153"/>
      <c r="H9" s="2153"/>
      <c r="I9" s="2153"/>
      <c r="J9" s="2153"/>
      <c r="K9" s="2153"/>
      <c r="L9" s="2153"/>
      <c r="M9" s="2153"/>
      <c r="N9" s="1888"/>
      <c r="O9" s="1888"/>
      <c r="P9" s="1888"/>
      <c r="Q9" s="1888"/>
      <c r="R9" s="1888"/>
      <c r="S9" s="1888"/>
      <c r="T9" s="1888"/>
      <c r="U9" s="1888"/>
      <c r="V9" s="1888"/>
      <c r="W9" s="1888"/>
      <c r="X9" s="1888"/>
    </row>
    <row r="10" spans="1:24" ht="18" customHeight="1" x14ac:dyDescent="0.2">
      <c r="A10" s="2964" t="s">
        <v>1195</v>
      </c>
      <c r="B10" s="2079" t="s">
        <v>1196</v>
      </c>
      <c r="C10" s="1906"/>
      <c r="D10" s="1907"/>
      <c r="E10" s="2150">
        <v>0</v>
      </c>
      <c r="F10" s="2146"/>
      <c r="G10" s="2150"/>
      <c r="H10" s="2150"/>
      <c r="I10" s="2150"/>
      <c r="J10" s="2150"/>
      <c r="K10" s="2150"/>
      <c r="L10" s="2150"/>
      <c r="M10" s="2150"/>
      <c r="N10" s="1982"/>
      <c r="O10" s="2154"/>
      <c r="P10" s="1888"/>
      <c r="Q10" s="1888"/>
      <c r="R10" s="1888"/>
      <c r="S10" s="1888"/>
      <c r="T10" s="1888"/>
      <c r="U10" s="1888"/>
      <c r="V10" s="1888"/>
      <c r="W10" s="1888"/>
      <c r="X10" s="1888"/>
    </row>
    <row r="11" spans="1:24" ht="18" customHeight="1" x14ac:dyDescent="0.2">
      <c r="A11" s="2964"/>
      <c r="B11" s="2079" t="s">
        <v>1197</v>
      </c>
      <c r="C11" s="2155"/>
      <c r="D11" s="1907"/>
      <c r="E11" s="2150">
        <v>0</v>
      </c>
      <c r="F11" s="2146"/>
      <c r="G11" s="2150">
        <v>0</v>
      </c>
      <c r="H11" s="2150">
        <v>0</v>
      </c>
      <c r="I11" s="2150">
        <v>0</v>
      </c>
      <c r="J11" s="2150">
        <v>0</v>
      </c>
      <c r="K11" s="2150">
        <v>0.3</v>
      </c>
      <c r="L11" s="2150">
        <v>0.15</v>
      </c>
      <c r="M11" s="2150">
        <v>0.15</v>
      </c>
      <c r="N11" s="1888"/>
      <c r="O11" s="1888"/>
      <c r="P11" s="1888"/>
      <c r="Q11" s="1888"/>
      <c r="R11" s="1888"/>
      <c r="S11" s="1888"/>
      <c r="T11" s="1888"/>
      <c r="U11" s="1888"/>
      <c r="V11" s="1888"/>
      <c r="W11" s="1888"/>
      <c r="X11" s="1888"/>
    </row>
    <row r="12" spans="1:24" ht="18" customHeight="1" x14ac:dyDescent="0.2">
      <c r="A12" s="2965"/>
      <c r="B12" s="2079" t="s">
        <v>1198</v>
      </c>
      <c r="C12" s="1906"/>
      <c r="D12" s="1907"/>
      <c r="E12" s="2150">
        <v>1</v>
      </c>
      <c r="F12" s="2146"/>
      <c r="G12" s="1968">
        <v>0.35</v>
      </c>
      <c r="H12" s="1968">
        <v>0.35</v>
      </c>
      <c r="I12" s="1968">
        <v>0.35</v>
      </c>
      <c r="J12" s="1968">
        <v>0.375</v>
      </c>
      <c r="K12" s="1968"/>
      <c r="L12" s="1968"/>
      <c r="M12" s="1968"/>
      <c r="N12" s="1888"/>
      <c r="O12" s="1888"/>
      <c r="P12" s="1888"/>
      <c r="Q12" s="1888"/>
      <c r="R12" s="1888"/>
      <c r="S12" s="1888"/>
      <c r="T12" s="1888"/>
      <c r="U12" s="1888"/>
      <c r="V12" s="1888"/>
      <c r="W12" s="1888"/>
      <c r="X12" s="1888"/>
    </row>
    <row r="13" spans="1:24" ht="18" customHeight="1" x14ac:dyDescent="0.2">
      <c r="A13" s="2966" t="s">
        <v>1199</v>
      </c>
      <c r="B13" s="2156"/>
      <c r="C13" s="2157"/>
      <c r="D13" s="2158" t="s">
        <v>1200</v>
      </c>
      <c r="E13" s="2153"/>
      <c r="F13" s="2146"/>
      <c r="G13" s="2153"/>
      <c r="H13" s="2153"/>
      <c r="I13" s="2153"/>
      <c r="J13" s="2153"/>
      <c r="K13" s="2153"/>
      <c r="L13" s="2153"/>
      <c r="M13" s="2153"/>
      <c r="N13" s="1888"/>
      <c r="O13" s="2159"/>
      <c r="P13" s="1888"/>
      <c r="Q13" s="1888"/>
      <c r="R13" s="1888"/>
      <c r="S13" s="1888"/>
      <c r="T13" s="1888"/>
      <c r="U13" s="1888"/>
      <c r="V13" s="1888"/>
      <c r="W13" s="1888"/>
      <c r="X13" s="1888"/>
    </row>
    <row r="14" spans="1:24" ht="18" customHeight="1" x14ac:dyDescent="0.2">
      <c r="A14" s="2964"/>
      <c r="B14" s="2160" t="s">
        <v>1201</v>
      </c>
      <c r="C14" s="2161"/>
      <c r="D14" s="2162" t="s">
        <v>1202</v>
      </c>
      <c r="E14" s="2150"/>
      <c r="F14" s="2146"/>
      <c r="G14" s="2150"/>
      <c r="H14" s="2150"/>
      <c r="I14" s="2150"/>
      <c r="J14" s="2150">
        <v>0.625</v>
      </c>
      <c r="K14" s="2150"/>
      <c r="L14" s="2150"/>
      <c r="M14" s="2150"/>
      <c r="N14" s="1982"/>
      <c r="O14" s="2163"/>
      <c r="P14" s="2163"/>
      <c r="Q14" s="1888"/>
      <c r="R14" s="1888"/>
      <c r="S14" s="1888"/>
      <c r="T14" s="1888"/>
      <c r="U14" s="1888"/>
      <c r="V14" s="1888"/>
      <c r="W14" s="1888"/>
      <c r="X14" s="1888"/>
    </row>
    <row r="15" spans="1:24" ht="18" customHeight="1" x14ac:dyDescent="0.2">
      <c r="A15" s="2964"/>
      <c r="B15" s="2079" t="s">
        <v>1203</v>
      </c>
      <c r="C15" s="2164"/>
      <c r="D15" s="2165"/>
      <c r="E15" s="2150"/>
      <c r="F15" s="2146"/>
      <c r="G15" s="2150">
        <v>0.125</v>
      </c>
      <c r="H15" s="2150">
        <v>0.125</v>
      </c>
      <c r="I15" s="2150">
        <v>0.125</v>
      </c>
      <c r="J15" s="2150"/>
      <c r="K15" s="2150"/>
      <c r="L15" s="2150"/>
      <c r="M15" s="2150"/>
      <c r="N15" s="1888"/>
      <c r="O15" s="2163"/>
      <c r="P15" s="2163"/>
      <c r="Q15" s="1888"/>
      <c r="R15" s="1888"/>
      <c r="S15" s="1888"/>
      <c r="T15" s="1888"/>
      <c r="U15" s="1888"/>
      <c r="V15" s="1888"/>
      <c r="W15" s="1888"/>
      <c r="X15" s="1888"/>
    </row>
    <row r="16" spans="1:24" ht="18" customHeight="1" x14ac:dyDescent="0.2">
      <c r="A16" s="2964"/>
      <c r="B16" s="2160" t="s">
        <v>1204</v>
      </c>
      <c r="C16" s="2161"/>
      <c r="D16" s="2162" t="s">
        <v>1205</v>
      </c>
      <c r="E16" s="2150"/>
      <c r="F16" s="2146"/>
      <c r="G16" s="2150">
        <v>0.52500000000000002</v>
      </c>
      <c r="H16" s="2150">
        <v>0.52500000000000002</v>
      </c>
      <c r="I16" s="2150">
        <v>0.52500000000000002</v>
      </c>
      <c r="J16" s="2150"/>
      <c r="K16" s="2150"/>
      <c r="L16" s="2150"/>
      <c r="M16" s="2150"/>
      <c r="N16" s="1982"/>
      <c r="O16" s="2163"/>
      <c r="P16" s="2163"/>
      <c r="Q16" s="1888"/>
      <c r="R16" s="1888"/>
      <c r="S16" s="1888"/>
      <c r="T16" s="1888"/>
      <c r="U16" s="1888"/>
      <c r="V16" s="1888"/>
      <c r="W16" s="1888"/>
      <c r="X16" s="1888"/>
    </row>
    <row r="17" spans="1:24" ht="18" customHeight="1" x14ac:dyDescent="0.2">
      <c r="A17" s="2964"/>
      <c r="B17" s="2079" t="s">
        <v>1206</v>
      </c>
      <c r="C17" s="2164"/>
      <c r="D17" s="2165"/>
      <c r="E17" s="2150"/>
      <c r="F17" s="2146"/>
      <c r="G17" s="2150"/>
      <c r="H17" s="2150"/>
      <c r="I17" s="2150"/>
      <c r="J17" s="2150"/>
      <c r="K17" s="2150">
        <v>0.7</v>
      </c>
      <c r="L17" s="2150"/>
      <c r="M17" s="2150"/>
      <c r="N17" s="1982"/>
      <c r="O17" s="2163"/>
      <c r="P17" s="2163"/>
      <c r="Q17" s="1888"/>
      <c r="R17" s="1888"/>
      <c r="S17" s="1888"/>
      <c r="T17" s="1888"/>
      <c r="U17" s="1888"/>
      <c r="V17" s="1888"/>
      <c r="W17" s="1888"/>
      <c r="X17" s="1888"/>
    </row>
    <row r="18" spans="1:24" ht="18" customHeight="1" x14ac:dyDescent="0.2">
      <c r="A18" s="2964"/>
      <c r="B18" s="1902"/>
      <c r="C18" s="1913"/>
      <c r="D18" s="1913"/>
      <c r="E18" s="2153"/>
      <c r="F18" s="2146"/>
      <c r="G18" s="2153"/>
      <c r="H18" s="2153"/>
      <c r="I18" s="2153"/>
      <c r="J18" s="2153"/>
      <c r="K18" s="2153"/>
      <c r="L18" s="2153"/>
      <c r="M18" s="2153"/>
      <c r="N18" s="1982"/>
      <c r="O18" s="2166"/>
      <c r="P18" s="2166"/>
      <c r="Q18" s="1888"/>
      <c r="R18" s="1888"/>
      <c r="S18" s="1888"/>
      <c r="T18" s="1888"/>
      <c r="U18" s="1888"/>
      <c r="V18" s="1888"/>
      <c r="W18" s="1888"/>
      <c r="X18" s="1888"/>
    </row>
    <row r="19" spans="1:24" ht="18" customHeight="1" x14ac:dyDescent="0.2">
      <c r="A19" s="2965"/>
      <c r="B19" s="2167" t="s">
        <v>1207</v>
      </c>
      <c r="C19" s="2168"/>
      <c r="D19" s="2169"/>
      <c r="E19" s="2170"/>
      <c r="F19" s="2146"/>
      <c r="G19" s="2170"/>
      <c r="H19" s="2170"/>
      <c r="I19" s="2170"/>
      <c r="J19" s="2170"/>
      <c r="K19" s="2170"/>
      <c r="L19" s="2170">
        <v>0.85</v>
      </c>
      <c r="M19" s="2170">
        <v>0.85</v>
      </c>
      <c r="N19" s="1888"/>
      <c r="O19" s="1982"/>
      <c r="P19" s="1888"/>
      <c r="Q19" s="1888"/>
      <c r="R19" s="1888"/>
      <c r="S19" s="1888"/>
      <c r="T19" s="1888"/>
      <c r="U19" s="1888"/>
      <c r="V19" s="1888"/>
      <c r="W19" s="1888"/>
      <c r="X19" s="1888"/>
    </row>
    <row r="20" spans="1:24" ht="14.25" x14ac:dyDescent="0.25">
      <c r="A20" s="1896"/>
      <c r="B20" s="2171" t="s">
        <v>42</v>
      </c>
      <c r="C20" s="2172"/>
      <c r="D20" s="2173"/>
      <c r="E20" s="2174">
        <f>SUM(E7:E19)</f>
        <v>1</v>
      </c>
      <c r="F20" s="2175"/>
      <c r="G20" s="2174">
        <f t="shared" ref="G20:M20" si="0">SUM(G7:G19)</f>
        <v>1</v>
      </c>
      <c r="H20" s="2174">
        <f t="shared" si="0"/>
        <v>1</v>
      </c>
      <c r="I20" s="2174">
        <f t="shared" si="0"/>
        <v>1</v>
      </c>
      <c r="J20" s="2174">
        <f t="shared" si="0"/>
        <v>1</v>
      </c>
      <c r="K20" s="2174">
        <f t="shared" si="0"/>
        <v>1</v>
      </c>
      <c r="L20" s="2174">
        <f t="shared" si="0"/>
        <v>1</v>
      </c>
      <c r="M20" s="2174">
        <f t="shared" si="0"/>
        <v>1</v>
      </c>
      <c r="N20" s="2176"/>
      <c r="O20" s="1888"/>
      <c r="P20" s="1888"/>
      <c r="Q20" s="1888"/>
      <c r="R20" s="1888"/>
      <c r="S20" s="1888"/>
      <c r="T20" s="1888"/>
      <c r="U20" s="1888"/>
      <c r="V20" s="1888"/>
      <c r="W20" s="1888"/>
      <c r="X20" s="1888"/>
    </row>
    <row r="21" spans="1:24" x14ac:dyDescent="0.2">
      <c r="A21" s="1888"/>
      <c r="B21" s="1888"/>
      <c r="C21" s="1888"/>
      <c r="D21" s="1888"/>
      <c r="E21" s="1888"/>
      <c r="F21" s="2133"/>
      <c r="G21" s="1888"/>
      <c r="H21" s="1888"/>
      <c r="I21" s="1888"/>
      <c r="J21" s="1888"/>
      <c r="K21" s="1888"/>
      <c r="L21" s="1888"/>
      <c r="M21" s="1888"/>
      <c r="N21" s="1888"/>
      <c r="O21" s="2154"/>
      <c r="P21" s="1888"/>
      <c r="Q21" s="1888"/>
      <c r="R21" s="1888"/>
      <c r="S21" s="1888"/>
      <c r="T21" s="1888"/>
      <c r="U21" s="1888"/>
      <c r="V21" s="1888"/>
      <c r="W21" s="1888"/>
      <c r="X21" s="1888"/>
    </row>
    <row r="22" spans="1:24" ht="26.1" customHeight="1" x14ac:dyDescent="0.25">
      <c r="A22" s="2177" t="s">
        <v>1208</v>
      </c>
      <c r="B22" s="2178"/>
      <c r="C22" s="2178"/>
      <c r="D22" s="1896"/>
      <c r="E22" s="1896"/>
      <c r="F22" s="1896"/>
      <c r="G22" s="1896"/>
      <c r="H22" s="1896"/>
      <c r="I22" s="1896"/>
      <c r="J22" s="1896"/>
      <c r="K22" s="1896"/>
      <c r="L22" s="1896"/>
      <c r="M22" s="1896"/>
      <c r="N22" s="1896"/>
      <c r="O22" s="1888"/>
      <c r="P22" s="1888"/>
      <c r="Q22" s="1888"/>
      <c r="R22" s="1888"/>
      <c r="S22" s="1888"/>
      <c r="T22" s="1888"/>
      <c r="U22" s="1888"/>
      <c r="V22" s="1888"/>
      <c r="W22" s="1888"/>
      <c r="X22" s="1888"/>
    </row>
    <row r="23" spans="1:24" ht="18" customHeight="1" x14ac:dyDescent="0.25">
      <c r="A23" s="1895" t="s">
        <v>1209</v>
      </c>
      <c r="B23" s="2179"/>
      <c r="C23" s="1896"/>
      <c r="D23" s="1896"/>
      <c r="E23" s="1896"/>
      <c r="F23" s="1896"/>
      <c r="G23" s="1896"/>
      <c r="H23" s="1896"/>
      <c r="I23" s="1896"/>
      <c r="J23" s="1896"/>
      <c r="K23" s="1896"/>
      <c r="L23" s="1896"/>
      <c r="M23" s="1896"/>
      <c r="N23" s="1896"/>
      <c r="O23" s="1888"/>
      <c r="P23" s="1888"/>
      <c r="Q23" s="1888"/>
      <c r="R23" s="1888"/>
      <c r="S23" s="1888"/>
      <c r="T23" s="1888"/>
      <c r="U23" s="1888"/>
      <c r="V23" s="1888"/>
      <c r="W23" s="1888"/>
      <c r="X23" s="1888"/>
    </row>
    <row r="24" spans="1:24" ht="18" customHeight="1" x14ac:dyDescent="0.25">
      <c r="A24" s="1895" t="s">
        <v>1210</v>
      </c>
      <c r="B24" s="1941"/>
      <c r="C24" s="1896"/>
      <c r="D24" s="1896"/>
      <c r="E24" s="1896"/>
      <c r="F24" s="1896"/>
      <c r="G24" s="1896"/>
      <c r="H24" s="1896"/>
      <c r="I24" s="1896"/>
      <c r="J24" s="1896"/>
      <c r="K24" s="1896"/>
      <c r="L24" s="1896"/>
      <c r="M24" s="1896"/>
      <c r="N24" s="1896"/>
      <c r="O24" s="1888"/>
      <c r="P24" s="1888"/>
      <c r="Q24" s="1888"/>
      <c r="R24" s="1888"/>
      <c r="S24" s="1888"/>
      <c r="T24" s="1888"/>
      <c r="U24" s="1888"/>
      <c r="V24" s="1888"/>
      <c r="W24" s="1888"/>
      <c r="X24" s="1888"/>
    </row>
    <row r="25" spans="1:24" ht="18" customHeight="1" x14ac:dyDescent="0.25">
      <c r="A25" s="1899"/>
      <c r="B25" s="1941"/>
      <c r="C25" s="1896"/>
      <c r="D25" s="1896"/>
      <c r="E25" s="1896"/>
      <c r="F25" s="1896"/>
      <c r="G25" s="1896"/>
      <c r="H25" s="1896"/>
      <c r="I25" s="1896"/>
      <c r="J25" s="1896"/>
      <c r="K25" s="1896"/>
      <c r="L25" s="1896"/>
      <c r="M25" s="1896"/>
      <c r="N25" s="1896"/>
      <c r="O25" s="1888"/>
      <c r="P25" s="1888"/>
      <c r="Q25" s="1888"/>
      <c r="R25" s="1888"/>
      <c r="S25" s="1888"/>
      <c r="T25" s="1888"/>
      <c r="U25" s="1888"/>
      <c r="V25" s="1888"/>
      <c r="W25" s="1888"/>
      <c r="X25" s="1888"/>
    </row>
    <row r="26" spans="1:24" ht="23.1" customHeight="1" x14ac:dyDescent="0.25">
      <c r="A26" s="2180" t="s">
        <v>1211</v>
      </c>
      <c r="B26" s="1941"/>
      <c r="C26" s="1896"/>
      <c r="D26" s="1896"/>
      <c r="E26" s="1896"/>
      <c r="F26" s="1896"/>
      <c r="G26" s="1896"/>
      <c r="H26" s="1896"/>
      <c r="I26" s="1896"/>
      <c r="J26" s="1896"/>
      <c r="K26" s="1896"/>
      <c r="L26" s="1896"/>
      <c r="M26" s="1896"/>
      <c r="N26" s="1896"/>
      <c r="O26" s="1888"/>
      <c r="P26" s="1888"/>
      <c r="Q26" s="1888"/>
      <c r="R26" s="1888"/>
      <c r="S26" s="1888"/>
      <c r="T26" s="1888"/>
      <c r="U26" s="1888"/>
      <c r="V26" s="1888"/>
      <c r="W26" s="1888"/>
      <c r="X26" s="1888"/>
    </row>
    <row r="27" spans="1:24" ht="18" customHeight="1" x14ac:dyDescent="0.25">
      <c r="A27" s="1896"/>
      <c r="B27" s="2181"/>
      <c r="C27" s="2072" t="s">
        <v>1212</v>
      </c>
      <c r="D27" s="2072" t="s">
        <v>1213</v>
      </c>
      <c r="E27" s="2182"/>
      <c r="F27" s="1896"/>
      <c r="G27" s="1896"/>
      <c r="H27" s="1896"/>
      <c r="I27" s="1896"/>
      <c r="J27" s="1896"/>
      <c r="K27" s="1896"/>
      <c r="L27" s="1896"/>
      <c r="M27" s="1896"/>
      <c r="N27" s="1896"/>
      <c r="O27" s="1888"/>
      <c r="P27" s="1888"/>
      <c r="Q27" s="1888"/>
      <c r="R27" s="1888"/>
      <c r="S27" s="1888"/>
      <c r="T27" s="1888"/>
      <c r="U27" s="1888"/>
      <c r="V27" s="1888"/>
      <c r="W27" s="1888"/>
      <c r="X27" s="1888"/>
    </row>
    <row r="28" spans="1:24" ht="18" customHeight="1" x14ac:dyDescent="0.25">
      <c r="A28" s="1896"/>
      <c r="B28" s="1965" t="s">
        <v>1214</v>
      </c>
      <c r="C28" s="2183">
        <v>0.1</v>
      </c>
      <c r="D28" s="2183">
        <v>0.5</v>
      </c>
      <c r="E28" s="2080">
        <v>0.22500000000000001</v>
      </c>
      <c r="F28" s="2184"/>
      <c r="G28" s="2185">
        <v>0.22500000000000001</v>
      </c>
      <c r="H28" s="2185">
        <v>0.22500000000000001</v>
      </c>
      <c r="I28" s="2185">
        <v>0.22500000000000001</v>
      </c>
      <c r="J28" s="2185">
        <v>0.22500000000000001</v>
      </c>
      <c r="K28" s="2185">
        <v>0.22500000000000001</v>
      </c>
      <c r="L28" s="2185">
        <v>0.22500000000000001</v>
      </c>
      <c r="M28" s="2185">
        <v>0.22500000000000001</v>
      </c>
      <c r="N28" s="1896"/>
      <c r="O28" s="2154"/>
      <c r="P28" s="1888"/>
      <c r="Q28" s="1888"/>
      <c r="R28" s="1888"/>
      <c r="S28" s="1888"/>
      <c r="T28" s="1888"/>
      <c r="U28" s="1888"/>
      <c r="V28" s="1888"/>
      <c r="W28" s="1888"/>
      <c r="X28" s="1888"/>
    </row>
    <row r="29" spans="1:24" ht="18" customHeight="1" x14ac:dyDescent="0.25">
      <c r="A29" s="1896"/>
      <c r="B29" s="1896"/>
      <c r="C29" s="2186"/>
      <c r="D29" s="2186"/>
      <c r="E29" s="2184"/>
      <c r="F29" s="2184"/>
      <c r="G29" s="1896"/>
      <c r="H29" s="1896"/>
      <c r="I29" s="1896"/>
      <c r="J29" s="1896"/>
      <c r="K29" s="1896"/>
      <c r="L29" s="1896"/>
      <c r="M29" s="1896"/>
      <c r="N29" s="1896"/>
      <c r="O29" s="2187"/>
      <c r="P29" s="1888"/>
      <c r="Q29" s="1888"/>
      <c r="R29" s="1888"/>
      <c r="S29" s="1888"/>
      <c r="T29" s="1888"/>
      <c r="U29" s="1888"/>
      <c r="V29" s="1888"/>
      <c r="W29" s="1888"/>
      <c r="X29" s="1888"/>
    </row>
    <row r="30" spans="1:24" ht="23.1" customHeight="1" x14ac:dyDescent="0.25">
      <c r="A30" s="2180" t="s">
        <v>1215</v>
      </c>
      <c r="B30" s="1896"/>
      <c r="C30" s="2186"/>
      <c r="D30" s="2186"/>
      <c r="E30" s="2184"/>
      <c r="F30" s="2184"/>
      <c r="G30" s="1896"/>
      <c r="H30" s="1896"/>
      <c r="I30" s="1896"/>
      <c r="J30" s="1896"/>
      <c r="K30" s="1896"/>
      <c r="L30" s="1896"/>
      <c r="M30" s="1896"/>
      <c r="N30" s="1896"/>
      <c r="O30" s="2188"/>
      <c r="P30" s="1888"/>
      <c r="Q30" s="1888"/>
      <c r="R30" s="1888"/>
      <c r="S30" s="1888"/>
      <c r="T30" s="1888"/>
      <c r="U30" s="1888"/>
      <c r="V30" s="1888"/>
      <c r="W30" s="1888"/>
      <c r="X30" s="1888"/>
    </row>
    <row r="31" spans="1:24" ht="18" customHeight="1" x14ac:dyDescent="0.25">
      <c r="A31" s="1896"/>
      <c r="B31" s="1987" t="s">
        <v>1216</v>
      </c>
      <c r="C31" s="2189"/>
      <c r="D31" s="2189"/>
      <c r="E31" s="2190"/>
      <c r="F31" s="2184"/>
      <c r="G31" s="2191"/>
      <c r="H31" s="2191"/>
      <c r="I31" s="2191"/>
      <c r="J31" s="2191"/>
      <c r="K31" s="2191"/>
      <c r="L31" s="2191"/>
      <c r="M31" s="2191"/>
      <c r="N31" s="1896"/>
      <c r="O31" s="1888"/>
      <c r="P31" s="1888"/>
      <c r="Q31" s="1888"/>
      <c r="R31" s="1888"/>
      <c r="S31" s="1888"/>
      <c r="T31" s="1888"/>
      <c r="U31" s="1888"/>
      <c r="V31" s="1888"/>
      <c r="W31" s="1888"/>
      <c r="X31" s="1888"/>
    </row>
    <row r="32" spans="1:24" ht="18" customHeight="1" x14ac:dyDescent="0.25">
      <c r="A32" s="1896"/>
      <c r="B32" s="2192" t="s">
        <v>1217</v>
      </c>
      <c r="C32" s="2193"/>
      <c r="D32" s="2194"/>
      <c r="E32" s="2080"/>
      <c r="F32" s="2081"/>
      <c r="G32" s="2080"/>
      <c r="H32" s="2080"/>
      <c r="I32" s="2080"/>
      <c r="J32" s="2080"/>
      <c r="K32" s="2080"/>
      <c r="L32" s="2080"/>
      <c r="M32" s="2080"/>
      <c r="N32" s="1895" t="s">
        <v>1161</v>
      </c>
      <c r="O32" s="1888"/>
      <c r="P32" s="1888"/>
      <c r="Q32" s="1888"/>
      <c r="R32" s="1888"/>
      <c r="S32" s="1888"/>
      <c r="T32" s="1888"/>
      <c r="U32" s="1888"/>
      <c r="V32" s="1888"/>
      <c r="W32" s="1888"/>
      <c r="X32" s="1888"/>
    </row>
    <row r="33" spans="1:24" ht="18" customHeight="1" x14ac:dyDescent="0.25">
      <c r="A33" s="1896"/>
      <c r="B33" s="2195" t="s">
        <v>1218</v>
      </c>
      <c r="C33" s="1906"/>
      <c r="D33" s="1907"/>
      <c r="E33" s="2196">
        <v>1</v>
      </c>
      <c r="F33" s="2081"/>
      <c r="G33" s="2196">
        <v>1</v>
      </c>
      <c r="H33" s="2196">
        <v>1</v>
      </c>
      <c r="I33" s="2196">
        <v>1</v>
      </c>
      <c r="J33" s="2196">
        <v>1</v>
      </c>
      <c r="K33" s="2196">
        <v>1</v>
      </c>
      <c r="L33" s="2196">
        <v>1</v>
      </c>
      <c r="M33" s="2196">
        <v>1</v>
      </c>
      <c r="N33" s="1895" t="s">
        <v>1161</v>
      </c>
      <c r="O33" s="1888"/>
      <c r="P33" s="1888"/>
      <c r="Q33" s="1888"/>
      <c r="R33" s="1888"/>
      <c r="S33" s="1888"/>
      <c r="T33" s="1888"/>
      <c r="U33" s="1888"/>
      <c r="V33" s="1888"/>
      <c r="W33" s="1888"/>
      <c r="X33" s="1888"/>
    </row>
    <row r="34" spans="1:24" ht="18" customHeight="1" x14ac:dyDescent="0.25">
      <c r="A34" s="1896"/>
      <c r="B34" s="2195" t="s">
        <v>1219</v>
      </c>
      <c r="C34" s="1906"/>
      <c r="D34" s="1907"/>
      <c r="E34" s="2080"/>
      <c r="F34" s="2081"/>
      <c r="G34" s="2080"/>
      <c r="H34" s="2080"/>
      <c r="I34" s="2080"/>
      <c r="J34" s="2080"/>
      <c r="K34" s="2080"/>
      <c r="L34" s="2080"/>
      <c r="M34" s="2080"/>
      <c r="N34" s="1895" t="s">
        <v>1161</v>
      </c>
      <c r="O34" s="1888"/>
      <c r="P34" s="1888"/>
      <c r="Q34" s="1888"/>
      <c r="R34" s="1888"/>
      <c r="S34" s="1888"/>
      <c r="T34" s="1888"/>
      <c r="U34" s="1888"/>
      <c r="V34" s="1888"/>
      <c r="W34" s="1888"/>
      <c r="X34" s="1888"/>
    </row>
    <row r="35" spans="1:24" ht="18" customHeight="1" x14ac:dyDescent="0.25">
      <c r="A35" s="1896"/>
      <c r="B35" s="2192" t="s">
        <v>1220</v>
      </c>
      <c r="C35" s="1906"/>
      <c r="D35" s="1907"/>
      <c r="E35" s="2080"/>
      <c r="F35" s="2081"/>
      <c r="G35" s="2080"/>
      <c r="H35" s="2080"/>
      <c r="I35" s="2080"/>
      <c r="J35" s="2080"/>
      <c r="K35" s="2080"/>
      <c r="L35" s="2080"/>
      <c r="M35" s="2080"/>
      <c r="N35" s="1895" t="s">
        <v>1161</v>
      </c>
      <c r="O35" s="1888"/>
      <c r="P35" s="1888"/>
      <c r="Q35" s="1888"/>
      <c r="R35" s="1888"/>
      <c r="S35" s="1888"/>
      <c r="T35" s="1888"/>
      <c r="U35" s="1888"/>
      <c r="V35" s="1888"/>
      <c r="W35" s="1888"/>
      <c r="X35" s="1888"/>
    </row>
    <row r="36" spans="1:24" ht="18" customHeight="1" x14ac:dyDescent="0.25">
      <c r="A36" s="1896"/>
      <c r="B36" s="2104" t="s">
        <v>42</v>
      </c>
      <c r="C36" s="1988"/>
      <c r="D36" s="2197"/>
      <c r="E36" s="2105">
        <f>SUM(E32:E35)</f>
        <v>1</v>
      </c>
      <c r="F36" s="2198"/>
      <c r="G36" s="2105">
        <f t="shared" ref="G36:M36" si="1">SUM(G32:G35)</f>
        <v>1</v>
      </c>
      <c r="H36" s="2105">
        <f t="shared" si="1"/>
        <v>1</v>
      </c>
      <c r="I36" s="2105">
        <f t="shared" si="1"/>
        <v>1</v>
      </c>
      <c r="J36" s="2105">
        <f t="shared" si="1"/>
        <v>1</v>
      </c>
      <c r="K36" s="2105">
        <f t="shared" si="1"/>
        <v>1</v>
      </c>
      <c r="L36" s="2105">
        <f t="shared" si="1"/>
        <v>1</v>
      </c>
      <c r="M36" s="2105">
        <f t="shared" si="1"/>
        <v>1</v>
      </c>
      <c r="N36" s="1896"/>
      <c r="O36" s="1888"/>
      <c r="P36" s="1888"/>
      <c r="Q36" s="1888"/>
      <c r="R36" s="1888"/>
      <c r="S36" s="1888"/>
      <c r="T36" s="1888"/>
      <c r="U36" s="1888"/>
      <c r="V36" s="1888"/>
      <c r="W36" s="1888"/>
      <c r="X36" s="1888"/>
    </row>
    <row r="37" spans="1:24" ht="18" customHeight="1" x14ac:dyDescent="0.25">
      <c r="A37" s="1896"/>
      <c r="B37" s="2199"/>
      <c r="C37" s="1896"/>
      <c r="D37" s="1896"/>
      <c r="E37" s="2200"/>
      <c r="F37" s="2201"/>
      <c r="G37" s="2200"/>
      <c r="H37" s="2200"/>
      <c r="I37" s="2200"/>
      <c r="J37" s="2200"/>
      <c r="K37" s="2200"/>
      <c r="L37" s="2200"/>
      <c r="M37" s="2200"/>
      <c r="N37" s="1896"/>
      <c r="O37" s="1888"/>
      <c r="P37" s="1888"/>
      <c r="Q37" s="1888"/>
      <c r="R37" s="1888"/>
      <c r="S37" s="1888"/>
      <c r="T37" s="1888"/>
      <c r="U37" s="1888"/>
      <c r="V37" s="1888"/>
      <c r="W37" s="1888"/>
      <c r="X37" s="1888"/>
    </row>
    <row r="38" spans="1:24" s="2206" customFormat="1" ht="23.1" customHeight="1" x14ac:dyDescent="0.25">
      <c r="A38" s="2202" t="s">
        <v>1221</v>
      </c>
      <c r="B38" s="2203"/>
      <c r="C38" s="2203"/>
      <c r="D38" s="2203"/>
      <c r="E38" s="2204"/>
      <c r="F38" s="2204"/>
      <c r="G38" s="2204"/>
      <c r="H38" s="2204"/>
      <c r="I38" s="2204"/>
      <c r="J38" s="2204"/>
      <c r="K38" s="2204"/>
      <c r="L38" s="2204"/>
      <c r="M38" s="2204"/>
      <c r="N38" s="2204"/>
      <c r="O38" s="2205"/>
      <c r="P38" s="2205"/>
      <c r="Q38" s="2205"/>
      <c r="R38" s="2205"/>
      <c r="S38" s="2205"/>
      <c r="T38" s="2205"/>
      <c r="U38" s="2205"/>
      <c r="V38" s="2205"/>
      <c r="W38" s="2205"/>
      <c r="X38" s="2205"/>
    </row>
    <row r="39" spans="1:24" ht="18" customHeight="1" x14ac:dyDescent="0.25">
      <c r="A39" s="1941"/>
      <c r="B39" s="2192" t="s">
        <v>1222</v>
      </c>
      <c r="C39" s="2207"/>
      <c r="D39" s="2208" t="s">
        <v>1223</v>
      </c>
      <c r="E39" s="2169"/>
      <c r="F39" s="1913"/>
      <c r="G39" s="1913"/>
      <c r="H39" s="1913"/>
      <c r="I39" s="1913"/>
      <c r="J39" s="1913"/>
      <c r="K39" s="1913"/>
      <c r="L39" s="1913"/>
      <c r="M39" s="1913"/>
      <c r="N39" s="1896"/>
      <c r="O39" s="1888"/>
      <c r="P39" s="1888"/>
      <c r="Q39" s="1888"/>
      <c r="R39" s="1888"/>
      <c r="S39" s="1888"/>
      <c r="T39" s="1888"/>
      <c r="U39" s="1888"/>
      <c r="V39" s="1888"/>
      <c r="W39" s="1888"/>
      <c r="X39" s="1888"/>
    </row>
    <row r="40" spans="1:24" ht="18" customHeight="1" x14ac:dyDescent="0.25">
      <c r="A40" s="1941"/>
      <c r="B40" s="2209" t="s">
        <v>1224</v>
      </c>
      <c r="C40" s="2210"/>
      <c r="D40" s="2210"/>
      <c r="E40" s="2211">
        <v>0.1</v>
      </c>
      <c r="F40" s="2212"/>
      <c r="G40" s="2211">
        <v>0.1</v>
      </c>
      <c r="H40" s="2211">
        <v>0.1</v>
      </c>
      <c r="I40" s="2211">
        <v>0.1</v>
      </c>
      <c r="J40" s="2211">
        <v>0.1</v>
      </c>
      <c r="K40" s="2211">
        <v>0.1</v>
      </c>
      <c r="L40" s="2211">
        <v>0.1</v>
      </c>
      <c r="M40" s="2211">
        <v>0.1</v>
      </c>
      <c r="N40" s="1895" t="s">
        <v>1161</v>
      </c>
      <c r="O40" s="1888"/>
      <c r="P40" s="1888"/>
      <c r="Q40" s="1888"/>
      <c r="R40" s="1888"/>
      <c r="S40" s="1888"/>
      <c r="T40" s="1888"/>
      <c r="U40" s="1888"/>
      <c r="V40" s="1888"/>
      <c r="W40" s="1888"/>
      <c r="X40" s="1888"/>
    </row>
    <row r="41" spans="1:24" ht="18" customHeight="1" x14ac:dyDescent="0.25">
      <c r="A41" s="1941"/>
      <c r="B41" s="2213"/>
      <c r="C41" s="1941"/>
      <c r="D41" s="1941"/>
      <c r="E41" s="2200"/>
      <c r="F41" s="2201"/>
      <c r="G41" s="2200"/>
      <c r="H41" s="2200"/>
      <c r="I41" s="2200"/>
      <c r="J41" s="2200"/>
      <c r="K41" s="2200"/>
      <c r="L41" s="2200"/>
      <c r="M41" s="2200"/>
      <c r="N41" s="1896"/>
      <c r="O41" s="1888"/>
      <c r="P41" s="1888"/>
      <c r="Q41" s="1888"/>
      <c r="R41" s="1888"/>
      <c r="S41" s="1888"/>
      <c r="T41" s="1888"/>
      <c r="U41" s="1888"/>
      <c r="V41" s="1888"/>
      <c r="W41" s="1888"/>
      <c r="X41" s="1888"/>
    </row>
    <row r="42" spans="1:24" ht="26.1" customHeight="1" x14ac:dyDescent="0.25">
      <c r="A42" s="2177" t="s">
        <v>1225</v>
      </c>
      <c r="B42" s="2214"/>
      <c r="C42" s="2215"/>
      <c r="D42" s="1941"/>
      <c r="E42" s="2200"/>
      <c r="F42" s="2201"/>
      <c r="G42" s="2200"/>
      <c r="H42" s="2200"/>
      <c r="I42" s="2200"/>
      <c r="J42" s="2200"/>
      <c r="K42" s="2200"/>
      <c r="L42" s="2200"/>
      <c r="M42" s="2200"/>
      <c r="N42" s="1896"/>
      <c r="O42" s="1888"/>
      <c r="P42" s="1888"/>
      <c r="Q42" s="1888"/>
      <c r="R42" s="1888"/>
      <c r="S42" s="1888"/>
      <c r="T42" s="1888"/>
      <c r="U42" s="1888"/>
      <c r="V42" s="1888"/>
      <c r="W42" s="1888"/>
      <c r="X42" s="1888"/>
    </row>
    <row r="43" spans="1:24" ht="18" customHeight="1" x14ac:dyDescent="0.25">
      <c r="A43" s="1941" t="s">
        <v>1226</v>
      </c>
      <c r="B43" s="2216"/>
      <c r="C43" s="1941"/>
      <c r="D43" s="1941"/>
      <c r="E43" s="1895"/>
      <c r="F43" s="2201"/>
      <c r="G43" s="2200"/>
      <c r="H43" s="2200"/>
      <c r="I43" s="2200"/>
      <c r="J43" s="2200"/>
      <c r="K43" s="2200"/>
      <c r="L43" s="2200"/>
      <c r="M43" s="2200"/>
      <c r="N43" s="1896"/>
      <c r="O43" s="1888"/>
      <c r="P43" s="1888"/>
      <c r="Q43" s="1888"/>
      <c r="R43" s="1888"/>
      <c r="S43" s="1888"/>
      <c r="T43" s="1888"/>
      <c r="U43" s="1888"/>
      <c r="V43" s="1888"/>
      <c r="W43" s="1888"/>
      <c r="X43" s="1888"/>
    </row>
    <row r="44" spans="1:24" ht="18" customHeight="1" x14ac:dyDescent="0.25">
      <c r="A44" s="1941"/>
      <c r="B44" s="2213"/>
      <c r="C44" s="1941"/>
      <c r="D44" s="1941"/>
      <c r="E44" s="2200"/>
      <c r="F44" s="2201"/>
      <c r="G44" s="2200"/>
      <c r="H44" s="2200"/>
      <c r="I44" s="2200"/>
      <c r="J44" s="2200"/>
      <c r="K44" s="2200"/>
      <c r="L44" s="2200"/>
      <c r="M44" s="2200"/>
      <c r="N44" s="1896"/>
      <c r="O44" s="1888"/>
      <c r="P44" s="1888"/>
      <c r="Q44" s="1888"/>
      <c r="R44" s="1888"/>
      <c r="S44" s="1888"/>
      <c r="T44" s="1888"/>
      <c r="U44" s="1888"/>
      <c r="V44" s="1888"/>
      <c r="W44" s="1888"/>
      <c r="X44" s="1888"/>
    </row>
    <row r="45" spans="1:24" ht="18" customHeight="1" x14ac:dyDescent="0.25">
      <c r="A45" s="1941"/>
      <c r="B45" s="1987" t="s">
        <v>1201</v>
      </c>
      <c r="C45" s="2217"/>
      <c r="D45" s="2217"/>
      <c r="E45" s="2218"/>
      <c r="F45" s="2081"/>
      <c r="G45" s="1913"/>
      <c r="H45" s="1913"/>
      <c r="I45" s="1913"/>
      <c r="J45" s="1913"/>
      <c r="K45" s="1913"/>
      <c r="L45" s="1913"/>
      <c r="M45" s="1913"/>
      <c r="N45" s="1896"/>
      <c r="O45" s="1888"/>
      <c r="P45" s="1888"/>
      <c r="Q45" s="1888"/>
      <c r="R45" s="1888"/>
      <c r="S45" s="1888"/>
      <c r="T45" s="1888"/>
      <c r="U45" s="1888"/>
      <c r="V45" s="1888"/>
      <c r="W45" s="1888"/>
      <c r="X45" s="1888"/>
    </row>
    <row r="46" spans="1:24" ht="18" customHeight="1" x14ac:dyDescent="0.25">
      <c r="A46" s="1941"/>
      <c r="B46" s="2219" t="s">
        <v>1227</v>
      </c>
      <c r="C46" s="2220"/>
      <c r="D46" s="2221"/>
      <c r="E46" s="2080"/>
      <c r="F46" s="2081"/>
      <c r="G46" s="2080"/>
      <c r="H46" s="2080"/>
      <c r="I46" s="2080"/>
      <c r="J46" s="2080"/>
      <c r="K46" s="2080"/>
      <c r="L46" s="2080"/>
      <c r="M46" s="2080"/>
      <c r="N46" s="1895" t="s">
        <v>1161</v>
      </c>
      <c r="O46" s="1888"/>
      <c r="P46" s="1888"/>
      <c r="Q46" s="1888"/>
      <c r="R46" s="1888"/>
      <c r="S46" s="1888"/>
      <c r="T46" s="1888"/>
      <c r="U46" s="1888"/>
      <c r="V46" s="1888"/>
      <c r="W46" s="1888"/>
      <c r="X46" s="1888"/>
    </row>
    <row r="47" spans="1:24" ht="18" customHeight="1" x14ac:dyDescent="0.25">
      <c r="A47" s="1941"/>
      <c r="B47" s="2192" t="s">
        <v>1228</v>
      </c>
      <c r="C47" s="2164"/>
      <c r="D47" s="2165"/>
      <c r="E47" s="2080"/>
      <c r="F47" s="2081"/>
      <c r="G47" s="2196"/>
      <c r="H47" s="2196"/>
      <c r="I47" s="2196"/>
      <c r="J47" s="2196"/>
      <c r="K47" s="2196"/>
      <c r="L47" s="2196"/>
      <c r="M47" s="2196"/>
      <c r="N47" s="1895" t="s">
        <v>1161</v>
      </c>
      <c r="O47" s="1888"/>
      <c r="P47" s="1888"/>
      <c r="Q47" s="1888"/>
      <c r="R47" s="1888"/>
      <c r="S47" s="1888"/>
      <c r="T47" s="1888"/>
      <c r="U47" s="1888"/>
      <c r="V47" s="1888"/>
      <c r="W47" s="1888"/>
      <c r="X47" s="1888"/>
    </row>
    <row r="48" spans="1:24" ht="18" customHeight="1" x14ac:dyDescent="0.25">
      <c r="A48" s="1941"/>
      <c r="B48" s="2104" t="s">
        <v>1229</v>
      </c>
      <c r="C48" s="1988"/>
      <c r="D48" s="1988"/>
      <c r="E48" s="2105">
        <f>SUM(E46:E47)</f>
        <v>0</v>
      </c>
      <c r="F48" s="2212"/>
      <c r="G48" s="2105">
        <f t="shared" ref="G48:M48" si="2">SUM(G46:G47)</f>
        <v>0</v>
      </c>
      <c r="H48" s="2105">
        <f t="shared" si="2"/>
        <v>0</v>
      </c>
      <c r="I48" s="2105">
        <f t="shared" si="2"/>
        <v>0</v>
      </c>
      <c r="J48" s="2105">
        <f t="shared" si="2"/>
        <v>0</v>
      </c>
      <c r="K48" s="2105">
        <f t="shared" si="2"/>
        <v>0</v>
      </c>
      <c r="L48" s="2105">
        <f t="shared" si="2"/>
        <v>0</v>
      </c>
      <c r="M48" s="2105">
        <f t="shared" si="2"/>
        <v>0</v>
      </c>
      <c r="N48" s="1895"/>
      <c r="O48" s="1888"/>
      <c r="P48" s="1888"/>
      <c r="Q48" s="1888"/>
      <c r="R48" s="1888"/>
      <c r="S48" s="1888"/>
      <c r="T48" s="1888"/>
      <c r="U48" s="1888"/>
      <c r="V48" s="1888"/>
      <c r="W48" s="1888"/>
      <c r="X48" s="1888"/>
    </row>
    <row r="49" spans="1:24" ht="18" customHeight="1" x14ac:dyDescent="0.25">
      <c r="A49" s="1941"/>
      <c r="B49" s="2213"/>
      <c r="C49" s="1941"/>
      <c r="D49" s="1941"/>
      <c r="E49" s="1895"/>
      <c r="F49" s="2222"/>
      <c r="G49" s="2222"/>
      <c r="H49" s="2222"/>
      <c r="I49" s="2222"/>
      <c r="J49" s="2222"/>
      <c r="K49" s="2222"/>
      <c r="L49" s="2222"/>
      <c r="M49" s="2222"/>
      <c r="N49" s="1895"/>
      <c r="O49" s="1888"/>
      <c r="P49" s="1888"/>
      <c r="Q49" s="1888"/>
      <c r="R49" s="1888"/>
      <c r="S49" s="1888"/>
      <c r="T49" s="1888"/>
      <c r="U49" s="1888"/>
      <c r="V49" s="1888"/>
      <c r="W49" s="1888"/>
      <c r="X49" s="1888"/>
    </row>
    <row r="50" spans="1:24" ht="18" customHeight="1" x14ac:dyDescent="0.25">
      <c r="A50" s="1941"/>
      <c r="B50" s="1987" t="s">
        <v>1230</v>
      </c>
      <c r="C50" s="2217"/>
      <c r="D50" s="2217"/>
      <c r="E50" s="2218"/>
      <c r="F50" s="2081"/>
      <c r="G50" s="1913"/>
      <c r="H50" s="1913"/>
      <c r="I50" s="1913"/>
      <c r="J50" s="1913"/>
      <c r="K50" s="1913"/>
      <c r="L50" s="1913"/>
      <c r="M50" s="1913"/>
      <c r="N50" s="1896"/>
      <c r="O50" s="1888"/>
      <c r="P50" s="1888"/>
      <c r="Q50" s="1888"/>
      <c r="R50" s="1888"/>
      <c r="S50" s="1888"/>
      <c r="T50" s="1888"/>
      <c r="U50" s="1888"/>
      <c r="V50" s="1888"/>
      <c r="W50" s="1888"/>
      <c r="X50" s="1888"/>
    </row>
    <row r="51" spans="1:24" ht="18" customHeight="1" x14ac:dyDescent="0.25">
      <c r="A51" s="1941"/>
      <c r="B51" s="2219" t="s">
        <v>1227</v>
      </c>
      <c r="C51" s="2220"/>
      <c r="D51" s="2221"/>
      <c r="E51" s="2080"/>
      <c r="F51" s="2081"/>
      <c r="G51" s="2080">
        <v>1</v>
      </c>
      <c r="H51" s="2080"/>
      <c r="I51" s="2080"/>
      <c r="J51" s="2080"/>
      <c r="K51" s="2080"/>
      <c r="L51" s="2080"/>
      <c r="M51" s="2080"/>
      <c r="N51" s="1895" t="s">
        <v>1161</v>
      </c>
      <c r="O51" s="1888"/>
      <c r="P51" s="1888"/>
      <c r="Q51" s="1888"/>
      <c r="R51" s="1888"/>
      <c r="S51" s="1888"/>
      <c r="T51" s="1888"/>
      <c r="U51" s="1888"/>
      <c r="V51" s="1888"/>
      <c r="W51" s="1888"/>
      <c r="X51" s="1888"/>
    </row>
    <row r="52" spans="1:24" ht="18" customHeight="1" x14ac:dyDescent="0.25">
      <c r="A52" s="1941"/>
      <c r="B52" s="2192" t="s">
        <v>1228</v>
      </c>
      <c r="C52" s="2164"/>
      <c r="D52" s="2165"/>
      <c r="E52" s="2196"/>
      <c r="F52" s="2081"/>
      <c r="G52" s="2196"/>
      <c r="H52" s="2196">
        <v>1</v>
      </c>
      <c r="I52" s="2196">
        <v>1</v>
      </c>
      <c r="J52" s="2196"/>
      <c r="K52" s="2196"/>
      <c r="L52" s="2196"/>
      <c r="M52" s="2196"/>
      <c r="N52" s="1895" t="s">
        <v>1161</v>
      </c>
      <c r="O52" s="1888"/>
      <c r="P52" s="1888"/>
      <c r="Q52" s="1888"/>
      <c r="R52" s="1888"/>
      <c r="S52" s="1888"/>
      <c r="T52" s="1888"/>
      <c r="U52" s="1888"/>
      <c r="V52" s="1888"/>
      <c r="W52" s="1888"/>
      <c r="X52" s="1888"/>
    </row>
    <row r="53" spans="1:24" ht="18" customHeight="1" x14ac:dyDescent="0.25">
      <c r="A53" s="1941"/>
      <c r="B53" s="2104" t="s">
        <v>1229</v>
      </c>
      <c r="C53" s="1988"/>
      <c r="D53" s="1988"/>
      <c r="E53" s="2105">
        <f>SUM(E51:E52)</f>
        <v>0</v>
      </c>
      <c r="F53" s="2212"/>
      <c r="G53" s="2105">
        <f t="shared" ref="G53:M53" si="3">SUM(G51:G52)</f>
        <v>1</v>
      </c>
      <c r="H53" s="2105">
        <f t="shared" si="3"/>
        <v>1</v>
      </c>
      <c r="I53" s="2105">
        <f t="shared" si="3"/>
        <v>1</v>
      </c>
      <c r="J53" s="2105">
        <f t="shared" si="3"/>
        <v>0</v>
      </c>
      <c r="K53" s="2105">
        <f t="shared" si="3"/>
        <v>0</v>
      </c>
      <c r="L53" s="2105">
        <f t="shared" si="3"/>
        <v>0</v>
      </c>
      <c r="M53" s="2105">
        <f t="shared" si="3"/>
        <v>0</v>
      </c>
      <c r="N53" s="1896"/>
      <c r="O53" s="1888"/>
      <c r="P53" s="1888"/>
      <c r="Q53" s="1888"/>
      <c r="R53" s="1888"/>
      <c r="S53" s="1888"/>
      <c r="T53" s="1888"/>
      <c r="U53" s="1888"/>
      <c r="V53" s="1888"/>
      <c r="W53" s="1888"/>
      <c r="X53" s="1888"/>
    </row>
    <row r="54" spans="1:24" ht="18" customHeight="1" x14ac:dyDescent="0.25">
      <c r="A54" s="1896"/>
      <c r="B54" s="1896"/>
      <c r="C54" s="1896"/>
      <c r="D54" s="1896"/>
      <c r="E54" s="1896"/>
      <c r="F54" s="1896"/>
      <c r="G54" s="1896"/>
      <c r="H54" s="1896"/>
      <c r="I54" s="1896"/>
      <c r="J54" s="1896"/>
      <c r="K54" s="1896"/>
      <c r="L54" s="1896"/>
      <c r="M54" s="1896"/>
      <c r="N54" s="1896"/>
      <c r="O54" s="1888"/>
      <c r="P54" s="1888"/>
      <c r="Q54" s="1888"/>
      <c r="R54" s="1888"/>
      <c r="S54" s="1888"/>
      <c r="T54" s="1888"/>
      <c r="U54" s="1888"/>
      <c r="V54" s="1888"/>
      <c r="W54" s="1888"/>
      <c r="X54" s="1888"/>
    </row>
    <row r="55" spans="1:24" ht="26.1" customHeight="1" x14ac:dyDescent="0.25">
      <c r="A55" s="2177" t="s">
        <v>1231</v>
      </c>
      <c r="B55" s="2214"/>
      <c r="C55" s="2215"/>
      <c r="D55" s="1941"/>
      <c r="E55" s="2200"/>
      <c r="F55" s="2201"/>
      <c r="G55" s="2200"/>
      <c r="H55" s="2200"/>
      <c r="I55" s="2200"/>
      <c r="J55" s="2200"/>
      <c r="K55" s="2200"/>
      <c r="L55" s="2200"/>
      <c r="M55" s="2200"/>
      <c r="N55" s="1896"/>
      <c r="O55" s="1888"/>
      <c r="P55" s="1888"/>
      <c r="Q55" s="1888"/>
      <c r="R55" s="1888"/>
      <c r="S55" s="1888"/>
      <c r="T55" s="1888"/>
      <c r="U55" s="1888"/>
      <c r="V55" s="1888"/>
      <c r="W55" s="1888"/>
      <c r="X55" s="1888"/>
    </row>
    <row r="56" spans="1:24" s="2223" customFormat="1" ht="23.45" customHeight="1" x14ac:dyDescent="0.25">
      <c r="A56" s="1902" t="s">
        <v>1232</v>
      </c>
      <c r="B56" s="1913"/>
      <c r="C56" s="1913"/>
      <c r="D56" s="1913"/>
      <c r="E56" s="1913"/>
      <c r="F56" s="1913"/>
      <c r="G56" s="1913"/>
      <c r="H56" s="1913"/>
      <c r="I56" s="1913"/>
      <c r="J56" s="1913"/>
      <c r="K56" s="1913"/>
      <c r="L56" s="1913"/>
      <c r="M56" s="1913"/>
      <c r="N56" s="1913"/>
      <c r="O56" s="2138"/>
      <c r="P56" s="2138"/>
      <c r="Q56" s="2138"/>
      <c r="R56" s="2138"/>
      <c r="S56" s="2138"/>
      <c r="T56" s="2138"/>
      <c r="U56" s="2138"/>
      <c r="V56" s="2138"/>
      <c r="W56" s="2138"/>
      <c r="X56" s="2138"/>
    </row>
    <row r="57" spans="1:24" ht="18" customHeight="1" x14ac:dyDescent="0.25">
      <c r="A57" s="1896"/>
      <c r="B57" s="1896"/>
      <c r="C57" s="2077" t="s">
        <v>1233</v>
      </c>
      <c r="D57" s="2186"/>
      <c r="E57" s="2184"/>
      <c r="F57" s="2184"/>
      <c r="G57" s="1896"/>
      <c r="H57" s="1896"/>
      <c r="I57" s="1896"/>
      <c r="J57" s="1896"/>
      <c r="K57" s="1896"/>
      <c r="L57" s="1896"/>
      <c r="M57" s="1896"/>
      <c r="N57" s="1896"/>
      <c r="O57" s="1888"/>
      <c r="P57" s="1888"/>
      <c r="Q57" s="1888"/>
      <c r="R57" s="1888"/>
      <c r="S57" s="1888"/>
      <c r="T57" s="1888"/>
      <c r="U57" s="1888"/>
      <c r="V57" s="1888"/>
      <c r="W57" s="1888"/>
      <c r="X57" s="1888"/>
    </row>
    <row r="58" spans="1:24" ht="18" customHeight="1" x14ac:dyDescent="0.25">
      <c r="A58" s="1896"/>
      <c r="B58" s="2224" t="s">
        <v>1234</v>
      </c>
      <c r="C58" s="2183">
        <v>0.15</v>
      </c>
      <c r="D58" s="2186"/>
      <c r="E58" s="1968">
        <v>0.15</v>
      </c>
      <c r="F58" s="2146"/>
      <c r="G58" s="1968">
        <v>0.15</v>
      </c>
      <c r="H58" s="1968">
        <v>0.15</v>
      </c>
      <c r="I58" s="1968">
        <v>0.15</v>
      </c>
      <c r="J58" s="1968">
        <v>0.15</v>
      </c>
      <c r="K58" s="1968">
        <v>0.15</v>
      </c>
      <c r="L58" s="1968">
        <v>0.15</v>
      </c>
      <c r="M58" s="1968">
        <v>0.15</v>
      </c>
      <c r="N58" s="1895" t="s">
        <v>1161</v>
      </c>
      <c r="O58" s="2154"/>
      <c r="P58" s="1888"/>
      <c r="Q58" s="1888"/>
      <c r="R58" s="1888"/>
      <c r="S58" s="1888"/>
      <c r="T58" s="1888"/>
      <c r="U58" s="1888"/>
      <c r="V58" s="1888"/>
      <c r="W58" s="1888"/>
      <c r="X58" s="1888"/>
    </row>
    <row r="59" spans="1:24" ht="18" customHeight="1" x14ac:dyDescent="0.25">
      <c r="A59" s="1896"/>
      <c r="B59" s="2224" t="s">
        <v>1235</v>
      </c>
      <c r="C59" s="2183">
        <v>0</v>
      </c>
      <c r="D59" s="1896"/>
      <c r="E59" s="2150">
        <v>0</v>
      </c>
      <c r="F59" s="2146"/>
      <c r="G59" s="2150">
        <v>0</v>
      </c>
      <c r="H59" s="2150">
        <v>0</v>
      </c>
      <c r="I59" s="2150">
        <v>0</v>
      </c>
      <c r="J59" s="2150">
        <v>0</v>
      </c>
      <c r="K59" s="2150">
        <v>0</v>
      </c>
      <c r="L59" s="2150">
        <v>0</v>
      </c>
      <c r="M59" s="2150">
        <v>0</v>
      </c>
      <c r="N59" s="1895" t="s">
        <v>1161</v>
      </c>
      <c r="O59" s="2188"/>
      <c r="P59" s="1888"/>
      <c r="Q59" s="1888"/>
      <c r="R59" s="1888"/>
      <c r="S59" s="1888"/>
      <c r="T59" s="1888"/>
      <c r="U59" s="1888"/>
      <c r="V59" s="1888"/>
      <c r="W59" s="1888"/>
      <c r="X59" s="1888"/>
    </row>
    <row r="60" spans="1:24" ht="18" customHeight="1" x14ac:dyDescent="0.2">
      <c r="A60" s="1888"/>
      <c r="B60" s="1888"/>
      <c r="C60" s="1888"/>
      <c r="D60" s="1888"/>
      <c r="E60" s="1888"/>
      <c r="F60" s="2133"/>
      <c r="G60" s="1888"/>
      <c r="H60" s="1888"/>
      <c r="I60" s="1888"/>
      <c r="J60" s="1888"/>
      <c r="K60" s="1888"/>
      <c r="L60" s="1888"/>
      <c r="M60" s="1888"/>
      <c r="N60" s="1888"/>
      <c r="O60" s="1888"/>
      <c r="P60" s="1888"/>
      <c r="Q60" s="1888"/>
      <c r="R60" s="1888"/>
      <c r="S60" s="1888"/>
      <c r="T60" s="1888"/>
      <c r="U60" s="1888"/>
      <c r="V60" s="1888"/>
      <c r="W60" s="1888"/>
      <c r="X60" s="1888"/>
    </row>
    <row r="61" spans="1:24" x14ac:dyDescent="0.2">
      <c r="A61" s="1888"/>
      <c r="B61" s="1888"/>
      <c r="C61" s="1888"/>
      <c r="D61" s="1888"/>
      <c r="E61" s="1888"/>
      <c r="F61" s="2133"/>
      <c r="G61" s="1888"/>
      <c r="H61" s="1888"/>
      <c r="I61" s="1888"/>
      <c r="J61" s="1888"/>
      <c r="K61" s="1888"/>
      <c r="L61" s="1888"/>
      <c r="M61" s="1888"/>
      <c r="N61" s="1888"/>
      <c r="O61" s="1888"/>
      <c r="P61" s="1888"/>
      <c r="Q61" s="1888"/>
      <c r="R61" s="1888"/>
      <c r="S61" s="1888"/>
      <c r="T61" s="1888"/>
      <c r="U61" s="1888"/>
      <c r="V61" s="1888"/>
      <c r="W61" s="1888"/>
      <c r="X61" s="1888"/>
    </row>
    <row r="62" spans="1:24" x14ac:dyDescent="0.2">
      <c r="A62" s="1888"/>
      <c r="B62" s="1888"/>
      <c r="C62" s="1888"/>
      <c r="D62" s="1888"/>
      <c r="E62" s="1888"/>
      <c r="F62" s="2133"/>
      <c r="G62" s="1888"/>
      <c r="H62" s="1888"/>
      <c r="I62" s="1888"/>
      <c r="J62" s="1888"/>
      <c r="K62" s="1888"/>
      <c r="L62" s="1888"/>
      <c r="M62" s="1888"/>
      <c r="N62" s="1888"/>
      <c r="O62" s="1888"/>
      <c r="P62" s="1888"/>
      <c r="Q62" s="1888"/>
      <c r="R62" s="1888"/>
      <c r="S62" s="1888"/>
      <c r="T62" s="1888"/>
      <c r="U62" s="1888"/>
      <c r="V62" s="1888"/>
      <c r="W62" s="1888"/>
      <c r="X62" s="1888"/>
    </row>
    <row r="63" spans="1:24" x14ac:dyDescent="0.2">
      <c r="A63" s="1888"/>
      <c r="B63" s="1888"/>
      <c r="C63" s="1888"/>
      <c r="D63" s="1888"/>
      <c r="E63" s="1888"/>
      <c r="F63" s="2133"/>
      <c r="G63" s="1888"/>
      <c r="H63" s="1888"/>
      <c r="I63" s="1888"/>
      <c r="J63" s="1888"/>
      <c r="K63" s="1888"/>
      <c r="L63" s="1888"/>
      <c r="M63" s="1888"/>
      <c r="N63" s="1888"/>
      <c r="O63" s="1888"/>
      <c r="P63" s="1888"/>
      <c r="Q63" s="1888"/>
      <c r="R63" s="1888"/>
      <c r="S63" s="1888"/>
      <c r="T63" s="1888"/>
      <c r="U63" s="1888"/>
      <c r="V63" s="1888"/>
      <c r="W63" s="1888"/>
      <c r="X63" s="1888"/>
    </row>
    <row r="64" spans="1:24" x14ac:dyDescent="0.2">
      <c r="A64" s="1888"/>
      <c r="B64" s="1888"/>
      <c r="C64" s="1888"/>
      <c r="D64" s="1888"/>
      <c r="E64" s="1888"/>
      <c r="F64" s="2133"/>
      <c r="G64" s="1888"/>
      <c r="H64" s="1888"/>
      <c r="I64" s="1888"/>
      <c r="J64" s="1888"/>
      <c r="K64" s="1888"/>
      <c r="L64" s="1888"/>
      <c r="M64" s="1888"/>
      <c r="N64" s="1888"/>
      <c r="O64" s="1888"/>
      <c r="P64" s="1888"/>
      <c r="Q64" s="1888"/>
      <c r="R64" s="1888"/>
      <c r="S64" s="1888"/>
      <c r="T64" s="1888"/>
      <c r="U64" s="1888"/>
      <c r="V64" s="1888"/>
      <c r="W64" s="1888"/>
      <c r="X64" s="1888"/>
    </row>
    <row r="65" spans="1:24" x14ac:dyDescent="0.2">
      <c r="A65" s="1888"/>
      <c r="B65" s="1888"/>
      <c r="C65" s="1888"/>
      <c r="D65" s="1888"/>
      <c r="E65" s="1888"/>
      <c r="F65" s="2133"/>
      <c r="G65" s="1888"/>
      <c r="H65" s="1888"/>
      <c r="I65" s="1888"/>
      <c r="J65" s="1888"/>
      <c r="K65" s="1888"/>
      <c r="L65" s="1888"/>
      <c r="M65" s="1888"/>
      <c r="N65" s="1888"/>
      <c r="O65" s="1888"/>
      <c r="P65" s="1888"/>
      <c r="Q65" s="1888"/>
      <c r="R65" s="1888"/>
      <c r="S65" s="1888"/>
      <c r="T65" s="1888"/>
      <c r="U65" s="1888"/>
      <c r="V65" s="1888"/>
      <c r="W65" s="1888"/>
      <c r="X65" s="1888"/>
    </row>
    <row r="66" spans="1:24" x14ac:dyDescent="0.2">
      <c r="A66" s="1888"/>
      <c r="B66" s="1888"/>
      <c r="C66" s="1888"/>
      <c r="D66" s="1888"/>
      <c r="E66" s="1888"/>
      <c r="F66" s="2133"/>
      <c r="G66" s="1888"/>
      <c r="H66" s="1888"/>
      <c r="I66" s="1888"/>
      <c r="J66" s="1888"/>
      <c r="K66" s="1888"/>
      <c r="L66" s="1888"/>
      <c r="M66" s="1888"/>
      <c r="N66" s="1888"/>
      <c r="O66" s="1888"/>
      <c r="P66" s="1888"/>
      <c r="Q66" s="1888"/>
      <c r="R66" s="1888"/>
      <c r="S66" s="1888"/>
      <c r="T66" s="1888"/>
      <c r="U66" s="1888"/>
      <c r="V66" s="1888"/>
      <c r="W66" s="1888"/>
      <c r="X66" s="1888"/>
    </row>
    <row r="67" spans="1:24" x14ac:dyDescent="0.2">
      <c r="A67" s="1888"/>
      <c r="B67" s="1888"/>
      <c r="C67" s="1888"/>
      <c r="D67" s="1888"/>
      <c r="E67" s="1888"/>
      <c r="F67" s="2133"/>
      <c r="G67" s="1888"/>
      <c r="H67" s="1888"/>
      <c r="I67" s="1888"/>
      <c r="J67" s="1888"/>
      <c r="K67" s="1888"/>
      <c r="L67" s="1888"/>
      <c r="M67" s="1888"/>
      <c r="N67" s="1888"/>
      <c r="O67" s="1888"/>
      <c r="P67" s="1888"/>
      <c r="Q67" s="1888"/>
      <c r="R67" s="1888"/>
      <c r="S67" s="1888"/>
      <c r="T67" s="1888"/>
      <c r="U67" s="1888"/>
      <c r="V67" s="1888"/>
      <c r="W67" s="1888"/>
      <c r="X67" s="1888"/>
    </row>
    <row r="68" spans="1:24" x14ac:dyDescent="0.2">
      <c r="A68" s="1888"/>
      <c r="B68" s="1888"/>
      <c r="C68" s="1888"/>
      <c r="D68" s="1888"/>
      <c r="E68" s="1888"/>
      <c r="F68" s="2133"/>
      <c r="G68" s="1888"/>
      <c r="H68" s="1888"/>
      <c r="I68" s="1888"/>
      <c r="J68" s="1888"/>
      <c r="K68" s="1888"/>
      <c r="L68" s="1888"/>
      <c r="M68" s="1888"/>
      <c r="N68" s="1888"/>
      <c r="O68" s="1888"/>
      <c r="P68" s="1888"/>
      <c r="Q68" s="1888"/>
      <c r="R68" s="1888"/>
      <c r="S68" s="1888"/>
      <c r="T68" s="1888"/>
      <c r="U68" s="1888"/>
      <c r="V68" s="1888"/>
      <c r="W68" s="1888"/>
      <c r="X68" s="1888"/>
    </row>
    <row r="69" spans="1:24" x14ac:dyDescent="0.2">
      <c r="A69" s="1888"/>
      <c r="B69" s="1888"/>
      <c r="C69" s="1888"/>
      <c r="D69" s="1888"/>
      <c r="E69" s="1888"/>
      <c r="F69" s="2133"/>
      <c r="G69" s="1888"/>
      <c r="H69" s="1888"/>
      <c r="I69" s="1888"/>
      <c r="J69" s="1888"/>
      <c r="K69" s="1888"/>
      <c r="L69" s="1888"/>
      <c r="M69" s="1888"/>
      <c r="N69" s="1888"/>
      <c r="O69" s="1888"/>
      <c r="P69" s="1888"/>
      <c r="Q69" s="1888"/>
      <c r="R69" s="1888"/>
      <c r="S69" s="1888"/>
      <c r="T69" s="1888"/>
      <c r="U69" s="1888"/>
      <c r="V69" s="1888"/>
      <c r="W69" s="1888"/>
      <c r="X69" s="1888"/>
    </row>
    <row r="70" spans="1:24" x14ac:dyDescent="0.2">
      <c r="A70" s="1888"/>
      <c r="B70" s="1888"/>
      <c r="C70" s="1888"/>
      <c r="D70" s="1888"/>
      <c r="E70" s="1888"/>
      <c r="F70" s="2133"/>
      <c r="G70" s="1888"/>
      <c r="H70" s="1888"/>
      <c r="I70" s="1888"/>
      <c r="J70" s="1888"/>
      <c r="K70" s="1888"/>
      <c r="L70" s="1888"/>
      <c r="M70" s="1888"/>
      <c r="N70" s="1888"/>
      <c r="O70" s="1888"/>
      <c r="P70" s="1888"/>
      <c r="Q70" s="1888"/>
      <c r="R70" s="1888"/>
      <c r="S70" s="1888"/>
      <c r="T70" s="1888"/>
      <c r="U70" s="1888"/>
      <c r="V70" s="1888"/>
      <c r="W70" s="1888"/>
      <c r="X70" s="1888"/>
    </row>
    <row r="71" spans="1:24" x14ac:dyDescent="0.2">
      <c r="A71" s="1888"/>
      <c r="B71" s="1888"/>
      <c r="C71" s="1888"/>
      <c r="D71" s="1888"/>
      <c r="E71" s="1888"/>
      <c r="F71" s="2133"/>
      <c r="G71" s="1888"/>
      <c r="H71" s="1888"/>
      <c r="I71" s="1888"/>
      <c r="J71" s="1888"/>
      <c r="K71" s="1888"/>
      <c r="L71" s="1888"/>
      <c r="M71" s="1888"/>
      <c r="N71" s="1888"/>
      <c r="O71" s="1888"/>
      <c r="P71" s="1888"/>
      <c r="Q71" s="1888"/>
      <c r="R71" s="1888"/>
      <c r="S71" s="1888"/>
      <c r="T71" s="1888"/>
      <c r="U71" s="1888"/>
      <c r="V71" s="1888"/>
      <c r="W71" s="1888"/>
      <c r="X71" s="1888"/>
    </row>
    <row r="72" spans="1:24" x14ac:dyDescent="0.2">
      <c r="A72" s="1888"/>
      <c r="B72" s="1888"/>
      <c r="C72" s="1888"/>
      <c r="D72" s="1888"/>
      <c r="E72" s="1888"/>
      <c r="F72" s="2133"/>
      <c r="G72" s="1888"/>
      <c r="H72" s="1888"/>
      <c r="I72" s="1888"/>
      <c r="J72" s="1888"/>
      <c r="K72" s="1888"/>
      <c r="L72" s="1888"/>
      <c r="M72" s="1888"/>
      <c r="N72" s="1888"/>
      <c r="O72" s="1888"/>
      <c r="P72" s="1888"/>
      <c r="Q72" s="1888"/>
      <c r="R72" s="1888"/>
      <c r="S72" s="1888"/>
      <c r="T72" s="1888"/>
      <c r="U72" s="1888"/>
      <c r="V72" s="1888"/>
      <c r="W72" s="1888"/>
      <c r="X72" s="1888"/>
    </row>
    <row r="73" spans="1:24" x14ac:dyDescent="0.2">
      <c r="A73" s="1888"/>
      <c r="B73" s="1888"/>
      <c r="C73" s="1888"/>
      <c r="D73" s="1888"/>
      <c r="E73" s="1888"/>
      <c r="F73" s="2133"/>
      <c r="G73" s="1888"/>
      <c r="H73" s="1888"/>
      <c r="I73" s="1888"/>
      <c r="J73" s="1888"/>
      <c r="K73" s="1888"/>
      <c r="L73" s="1888"/>
      <c r="M73" s="1888"/>
      <c r="N73" s="1888"/>
      <c r="O73" s="1888"/>
      <c r="P73" s="1888"/>
      <c r="Q73" s="1888"/>
      <c r="R73" s="1888"/>
      <c r="S73" s="1888"/>
      <c r="T73" s="1888"/>
      <c r="U73" s="1888"/>
      <c r="V73" s="1888"/>
      <c r="W73" s="1888"/>
      <c r="X73" s="1888"/>
    </row>
    <row r="74" spans="1:24" x14ac:dyDescent="0.2">
      <c r="A74" s="1888"/>
      <c r="B74" s="1888"/>
      <c r="C74" s="1888"/>
      <c r="D74" s="1888"/>
      <c r="E74" s="1888"/>
      <c r="F74" s="2133"/>
      <c r="G74" s="1888"/>
      <c r="H74" s="1888"/>
      <c r="I74" s="1888"/>
      <c r="J74" s="1888"/>
      <c r="K74" s="1888"/>
      <c r="L74" s="1888"/>
      <c r="M74" s="1888"/>
      <c r="N74" s="1888"/>
      <c r="O74" s="1888"/>
      <c r="P74" s="1888"/>
      <c r="Q74" s="1888"/>
      <c r="R74" s="1888"/>
      <c r="S74" s="1888"/>
      <c r="T74" s="1888"/>
      <c r="U74" s="1888"/>
      <c r="V74" s="1888"/>
      <c r="W74" s="1888"/>
      <c r="X74" s="1888"/>
    </row>
    <row r="75" spans="1:24" x14ac:dyDescent="0.2">
      <c r="A75" s="1888"/>
      <c r="B75" s="1888"/>
      <c r="C75" s="1888"/>
      <c r="D75" s="1888"/>
      <c r="E75" s="1888"/>
      <c r="F75" s="2133"/>
      <c r="G75" s="1888"/>
      <c r="H75" s="1888"/>
      <c r="I75" s="1888"/>
      <c r="J75" s="1888"/>
      <c r="K75" s="1888"/>
      <c r="L75" s="1888"/>
      <c r="M75" s="1888"/>
      <c r="N75" s="1888"/>
      <c r="O75" s="1888"/>
      <c r="P75" s="1888"/>
      <c r="Q75" s="1888"/>
      <c r="R75" s="1888"/>
      <c r="S75" s="1888"/>
      <c r="T75" s="1888"/>
      <c r="U75" s="1888"/>
      <c r="V75" s="1888"/>
      <c r="W75" s="1888"/>
      <c r="X75" s="1888"/>
    </row>
    <row r="76" spans="1:24" x14ac:dyDescent="0.2">
      <c r="A76" s="1888"/>
      <c r="B76" s="1888"/>
      <c r="C76" s="1888"/>
      <c r="D76" s="1888"/>
      <c r="E76" s="1888"/>
      <c r="F76" s="2133"/>
      <c r="G76" s="1888"/>
      <c r="H76" s="1888"/>
      <c r="I76" s="1888"/>
      <c r="J76" s="1888"/>
      <c r="K76" s="1888"/>
      <c r="L76" s="1888"/>
      <c r="M76" s="1888"/>
      <c r="N76" s="1888"/>
      <c r="O76" s="1888"/>
      <c r="P76" s="1888"/>
      <c r="Q76" s="1888"/>
      <c r="R76" s="1888"/>
      <c r="S76" s="1888"/>
      <c r="T76" s="1888"/>
      <c r="U76" s="1888"/>
      <c r="V76" s="1888"/>
      <c r="W76" s="1888"/>
      <c r="X76" s="1888"/>
    </row>
    <row r="77" spans="1:24" x14ac:dyDescent="0.2">
      <c r="A77" s="1888"/>
      <c r="B77" s="1888"/>
      <c r="C77" s="1888"/>
      <c r="D77" s="1888"/>
      <c r="E77" s="1888"/>
      <c r="F77" s="2133"/>
      <c r="G77" s="1888"/>
      <c r="H77" s="1888"/>
      <c r="I77" s="1888"/>
      <c r="J77" s="1888"/>
      <c r="K77" s="1888"/>
      <c r="L77" s="1888"/>
      <c r="M77" s="1888"/>
      <c r="N77" s="1888"/>
      <c r="O77" s="1888"/>
      <c r="P77" s="1888"/>
      <c r="Q77" s="1888"/>
      <c r="R77" s="1888"/>
      <c r="S77" s="1888"/>
      <c r="T77" s="1888"/>
      <c r="U77" s="1888"/>
      <c r="V77" s="1888"/>
      <c r="W77" s="1888"/>
      <c r="X77" s="1888"/>
    </row>
    <row r="78" spans="1:24" x14ac:dyDescent="0.2">
      <c r="A78" s="1888"/>
      <c r="B78" s="1888"/>
      <c r="C78" s="1888"/>
      <c r="D78" s="1888"/>
      <c r="E78" s="1888"/>
      <c r="F78" s="2133"/>
      <c r="G78" s="1888"/>
      <c r="H78" s="1888"/>
      <c r="I78" s="1888"/>
      <c r="J78" s="1888"/>
      <c r="K78" s="1888"/>
      <c r="L78" s="1888"/>
      <c r="M78" s="1888"/>
      <c r="N78" s="1888"/>
      <c r="O78" s="1888"/>
      <c r="P78" s="1888"/>
      <c r="Q78" s="1888"/>
      <c r="R78" s="1888"/>
      <c r="S78" s="1888"/>
      <c r="T78" s="1888"/>
      <c r="U78" s="1888"/>
      <c r="V78" s="1888"/>
      <c r="W78" s="1888"/>
      <c r="X78" s="1888"/>
    </row>
    <row r="79" spans="1:24" x14ac:dyDescent="0.2">
      <c r="A79" s="1888"/>
      <c r="B79" s="1888"/>
      <c r="C79" s="1888"/>
      <c r="D79" s="1888"/>
      <c r="E79" s="1888"/>
      <c r="F79" s="2133"/>
      <c r="G79" s="1888"/>
      <c r="H79" s="1888"/>
      <c r="I79" s="1888"/>
      <c r="J79" s="1888"/>
      <c r="K79" s="1888"/>
      <c r="L79" s="1888"/>
      <c r="M79" s="1888"/>
      <c r="N79" s="1888"/>
      <c r="O79" s="1888"/>
      <c r="P79" s="1888"/>
      <c r="Q79" s="1888"/>
      <c r="R79" s="1888"/>
      <c r="S79" s="1888"/>
      <c r="T79" s="1888"/>
      <c r="U79" s="1888"/>
      <c r="V79" s="1888"/>
      <c r="W79" s="1888"/>
      <c r="X79" s="1888"/>
    </row>
    <row r="80" spans="1:24" x14ac:dyDescent="0.2">
      <c r="A80" s="1888"/>
      <c r="B80" s="1888"/>
      <c r="C80" s="1888"/>
      <c r="D80" s="1888"/>
      <c r="E80" s="1888"/>
      <c r="F80" s="2133"/>
      <c r="G80" s="1888"/>
      <c r="H80" s="1888"/>
      <c r="I80" s="1888"/>
      <c r="J80" s="1888"/>
      <c r="K80" s="1888"/>
      <c r="L80" s="1888"/>
      <c r="M80" s="1888"/>
      <c r="N80" s="1888"/>
      <c r="O80" s="1888"/>
      <c r="P80" s="1888"/>
      <c r="Q80" s="1888"/>
      <c r="R80" s="1888"/>
      <c r="S80" s="1888"/>
      <c r="T80" s="1888"/>
      <c r="U80" s="1888"/>
      <c r="V80" s="1888"/>
      <c r="W80" s="1888"/>
      <c r="X80" s="1888"/>
    </row>
    <row r="81" spans="1:24" x14ac:dyDescent="0.2">
      <c r="A81" s="1888"/>
      <c r="B81" s="1888"/>
      <c r="C81" s="1888"/>
      <c r="D81" s="1888"/>
      <c r="E81" s="1888"/>
      <c r="F81" s="2133"/>
      <c r="G81" s="1888"/>
      <c r="H81" s="1888"/>
      <c r="I81" s="1888"/>
      <c r="J81" s="1888"/>
      <c r="K81" s="1888"/>
      <c r="L81" s="1888"/>
      <c r="M81" s="1888"/>
      <c r="N81" s="1888"/>
      <c r="O81" s="1888"/>
      <c r="P81" s="1888"/>
      <c r="Q81" s="1888"/>
      <c r="R81" s="1888"/>
      <c r="S81" s="1888"/>
      <c r="T81" s="1888"/>
      <c r="U81" s="1888"/>
      <c r="V81" s="1888"/>
      <c r="W81" s="1888"/>
      <c r="X81" s="1888"/>
    </row>
    <row r="82" spans="1:24" x14ac:dyDescent="0.2">
      <c r="A82" s="1888"/>
      <c r="B82" s="1888"/>
      <c r="C82" s="1888"/>
      <c r="D82" s="1888"/>
      <c r="E82" s="1888"/>
      <c r="F82" s="2133"/>
      <c r="G82" s="1888"/>
      <c r="H82" s="1888"/>
      <c r="I82" s="1888"/>
      <c r="J82" s="1888"/>
      <c r="K82" s="1888"/>
      <c r="L82" s="1888"/>
      <c r="M82" s="1888"/>
      <c r="N82" s="1888"/>
      <c r="O82" s="1888"/>
      <c r="P82" s="1888"/>
      <c r="Q82" s="1888"/>
      <c r="R82" s="1888"/>
      <c r="S82" s="1888"/>
      <c r="T82" s="1888"/>
      <c r="U82" s="1888"/>
      <c r="V82" s="1888"/>
      <c r="W82" s="1888"/>
      <c r="X82" s="1888"/>
    </row>
    <row r="83" spans="1:24" x14ac:dyDescent="0.2">
      <c r="A83" s="1888"/>
      <c r="B83" s="1888"/>
      <c r="C83" s="1888"/>
      <c r="D83" s="1888"/>
      <c r="E83" s="1888"/>
      <c r="F83" s="2133"/>
      <c r="G83" s="1888"/>
      <c r="H83" s="1888"/>
      <c r="I83" s="1888"/>
      <c r="J83" s="1888"/>
      <c r="K83" s="1888"/>
      <c r="L83" s="1888"/>
      <c r="M83" s="1888"/>
      <c r="N83" s="1888"/>
      <c r="O83" s="1888"/>
      <c r="P83" s="1888"/>
      <c r="Q83" s="1888"/>
      <c r="R83" s="1888"/>
      <c r="S83" s="1888"/>
      <c r="T83" s="1888"/>
      <c r="U83" s="1888"/>
      <c r="V83" s="1888"/>
      <c r="W83" s="1888"/>
      <c r="X83" s="1888"/>
    </row>
    <row r="84" spans="1:24" x14ac:dyDescent="0.2">
      <c r="A84" s="1888"/>
      <c r="B84" s="1888"/>
      <c r="C84" s="1888"/>
      <c r="D84" s="1888"/>
      <c r="E84" s="1888"/>
      <c r="F84" s="2133"/>
      <c r="G84" s="1888"/>
      <c r="H84" s="1888"/>
      <c r="I84" s="1888"/>
      <c r="J84" s="1888"/>
      <c r="K84" s="1888"/>
      <c r="L84" s="1888"/>
      <c r="M84" s="1888"/>
      <c r="N84" s="1888"/>
      <c r="O84" s="1888"/>
      <c r="P84" s="1888"/>
      <c r="Q84" s="1888"/>
      <c r="R84" s="1888"/>
      <c r="S84" s="1888"/>
      <c r="T84" s="1888"/>
      <c r="U84" s="1888"/>
      <c r="V84" s="1888"/>
      <c r="W84" s="1888"/>
      <c r="X84" s="1888"/>
    </row>
    <row r="85" spans="1:24" x14ac:dyDescent="0.2">
      <c r="A85" s="1888"/>
      <c r="B85" s="1888"/>
      <c r="C85" s="1888"/>
      <c r="D85" s="1888"/>
      <c r="E85" s="1888"/>
      <c r="F85" s="2133"/>
      <c r="G85" s="1888"/>
      <c r="H85" s="1888"/>
      <c r="I85" s="1888"/>
      <c r="J85" s="1888"/>
      <c r="K85" s="1888"/>
      <c r="L85" s="1888"/>
      <c r="M85" s="1888"/>
      <c r="N85" s="1888"/>
      <c r="O85" s="1888"/>
      <c r="P85" s="1888"/>
      <c r="Q85" s="1888"/>
      <c r="R85" s="1888"/>
      <c r="S85" s="1888"/>
      <c r="T85" s="1888"/>
      <c r="U85" s="1888"/>
      <c r="V85" s="1888"/>
      <c r="W85" s="1888"/>
      <c r="X85" s="1888"/>
    </row>
    <row r="86" spans="1:24" x14ac:dyDescent="0.2">
      <c r="A86" s="1888"/>
      <c r="B86" s="1888"/>
      <c r="C86" s="1888"/>
      <c r="D86" s="1888"/>
      <c r="E86" s="1888"/>
      <c r="F86" s="2133"/>
      <c r="G86" s="1888"/>
      <c r="H86" s="1888"/>
      <c r="I86" s="1888"/>
      <c r="J86" s="1888"/>
      <c r="K86" s="1888"/>
      <c r="L86" s="1888"/>
      <c r="M86" s="1888"/>
      <c r="N86" s="1888"/>
      <c r="O86" s="1888"/>
      <c r="P86" s="1888"/>
      <c r="Q86" s="1888"/>
      <c r="R86" s="1888"/>
      <c r="S86" s="1888"/>
      <c r="T86" s="1888"/>
      <c r="U86" s="1888"/>
      <c r="V86" s="1888"/>
      <c r="W86" s="1888"/>
      <c r="X86" s="1888"/>
    </row>
    <row r="87" spans="1:24" x14ac:dyDescent="0.2">
      <c r="A87" s="1888"/>
      <c r="B87" s="1888"/>
      <c r="C87" s="1888"/>
      <c r="D87" s="1888"/>
      <c r="E87" s="1888"/>
      <c r="F87" s="2133"/>
      <c r="G87" s="1888"/>
      <c r="H87" s="1888"/>
      <c r="I87" s="1888"/>
      <c r="J87" s="1888"/>
      <c r="K87" s="1888"/>
      <c r="L87" s="1888"/>
      <c r="M87" s="1888"/>
      <c r="N87" s="1888"/>
      <c r="O87" s="1888"/>
      <c r="P87" s="1888"/>
      <c r="Q87" s="1888"/>
      <c r="R87" s="1888"/>
      <c r="S87" s="1888"/>
      <c r="T87" s="1888"/>
      <c r="U87" s="1888"/>
      <c r="V87" s="1888"/>
      <c r="W87" s="1888"/>
      <c r="X87" s="1888"/>
    </row>
    <row r="88" spans="1:24" x14ac:dyDescent="0.2">
      <c r="A88" s="1888"/>
      <c r="B88" s="1888"/>
      <c r="C88" s="1888"/>
      <c r="D88" s="1888"/>
      <c r="E88" s="1888"/>
      <c r="F88" s="2133"/>
      <c r="G88" s="1888"/>
      <c r="H88" s="1888"/>
      <c r="I88" s="1888"/>
      <c r="J88" s="1888"/>
      <c r="K88" s="1888"/>
      <c r="L88" s="1888"/>
      <c r="M88" s="1888"/>
      <c r="N88" s="1888"/>
      <c r="O88" s="1888"/>
      <c r="P88" s="1888"/>
      <c r="Q88" s="1888"/>
      <c r="R88" s="1888"/>
      <c r="S88" s="1888"/>
      <c r="T88" s="1888"/>
      <c r="U88" s="1888"/>
      <c r="V88" s="1888"/>
      <c r="W88" s="1888"/>
      <c r="X88" s="1888"/>
    </row>
    <row r="89" spans="1:24" x14ac:dyDescent="0.2">
      <c r="A89" s="1888"/>
      <c r="B89" s="1888"/>
      <c r="C89" s="1888"/>
      <c r="D89" s="1888"/>
      <c r="E89" s="1888"/>
      <c r="F89" s="2133"/>
      <c r="G89" s="1888"/>
      <c r="H89" s="1888"/>
      <c r="I89" s="1888"/>
      <c r="J89" s="1888"/>
      <c r="K89" s="1888"/>
      <c r="L89" s="1888"/>
      <c r="M89" s="1888"/>
      <c r="N89" s="1888"/>
      <c r="O89" s="1888"/>
      <c r="P89" s="1888"/>
      <c r="Q89" s="1888"/>
      <c r="R89" s="1888"/>
      <c r="S89" s="1888"/>
      <c r="T89" s="1888"/>
      <c r="U89" s="1888"/>
      <c r="V89" s="1888"/>
      <c r="W89" s="1888"/>
      <c r="X89" s="1888"/>
    </row>
    <row r="90" spans="1:24" x14ac:dyDescent="0.2">
      <c r="A90" s="1888"/>
      <c r="B90" s="1888"/>
      <c r="C90" s="1888"/>
      <c r="D90" s="1888"/>
      <c r="E90" s="1888"/>
      <c r="F90" s="2133"/>
      <c r="G90" s="1888"/>
      <c r="H90" s="1888"/>
      <c r="I90" s="1888"/>
      <c r="J90" s="1888"/>
      <c r="K90" s="1888"/>
      <c r="L90" s="1888"/>
      <c r="M90" s="1888"/>
      <c r="N90" s="1888"/>
      <c r="O90" s="1888"/>
      <c r="P90" s="1888"/>
      <c r="Q90" s="1888"/>
      <c r="R90" s="1888"/>
      <c r="S90" s="1888"/>
      <c r="T90" s="1888"/>
      <c r="U90" s="1888"/>
      <c r="V90" s="1888"/>
      <c r="W90" s="1888"/>
      <c r="X90" s="1888"/>
    </row>
    <row r="91" spans="1:24" x14ac:dyDescent="0.2">
      <c r="A91" s="1888"/>
      <c r="B91" s="1888"/>
      <c r="C91" s="1888"/>
      <c r="D91" s="1888"/>
      <c r="E91" s="1888"/>
      <c r="F91" s="2133"/>
      <c r="G91" s="1888"/>
      <c r="H91" s="1888"/>
      <c r="I91" s="1888"/>
      <c r="J91" s="1888"/>
      <c r="K91" s="1888"/>
      <c r="L91" s="1888"/>
      <c r="M91" s="1888"/>
      <c r="N91" s="1888"/>
      <c r="O91" s="1888"/>
      <c r="P91" s="1888"/>
      <c r="Q91" s="1888"/>
      <c r="R91" s="1888"/>
      <c r="S91" s="1888"/>
      <c r="T91" s="1888"/>
      <c r="U91" s="1888"/>
      <c r="V91" s="1888"/>
      <c r="W91" s="1888"/>
      <c r="X91" s="1888"/>
    </row>
    <row r="92" spans="1:24" x14ac:dyDescent="0.2">
      <c r="A92" s="1888"/>
      <c r="B92" s="1888"/>
      <c r="C92" s="1888"/>
      <c r="D92" s="1888"/>
      <c r="E92" s="1888"/>
      <c r="F92" s="2133"/>
      <c r="G92" s="1888"/>
      <c r="H92" s="1888"/>
      <c r="I92" s="1888"/>
      <c r="J92" s="1888"/>
      <c r="K92" s="1888"/>
      <c r="L92" s="1888"/>
      <c r="M92" s="1888"/>
      <c r="N92" s="1888"/>
      <c r="O92" s="1888"/>
      <c r="P92" s="1888"/>
      <c r="Q92" s="1888"/>
      <c r="R92" s="1888"/>
      <c r="S92" s="1888"/>
      <c r="T92" s="1888"/>
      <c r="U92" s="1888"/>
      <c r="V92" s="1888"/>
      <c r="W92" s="1888"/>
      <c r="X92" s="1888"/>
    </row>
    <row r="93" spans="1:24" x14ac:dyDescent="0.2">
      <c r="A93" s="1888"/>
      <c r="B93" s="1888"/>
      <c r="C93" s="1888"/>
      <c r="D93" s="1888"/>
      <c r="E93" s="1888"/>
      <c r="F93" s="2133"/>
      <c r="G93" s="1888"/>
      <c r="H93" s="1888"/>
      <c r="I93" s="1888"/>
      <c r="J93" s="1888"/>
      <c r="K93" s="1888"/>
      <c r="L93" s="1888"/>
      <c r="M93" s="1888"/>
      <c r="N93" s="1888"/>
      <c r="O93" s="1888"/>
      <c r="P93" s="1888"/>
      <c r="Q93" s="1888"/>
      <c r="R93" s="1888"/>
      <c r="S93" s="1888"/>
      <c r="T93" s="1888"/>
      <c r="U93" s="1888"/>
      <c r="V93" s="1888"/>
      <c r="W93" s="1888"/>
      <c r="X93" s="1888"/>
    </row>
    <row r="94" spans="1:24" x14ac:dyDescent="0.2">
      <c r="A94" s="1888"/>
      <c r="B94" s="1888"/>
      <c r="C94" s="1888"/>
      <c r="D94" s="1888"/>
      <c r="E94" s="1888"/>
      <c r="F94" s="2133"/>
      <c r="G94" s="1888"/>
      <c r="H94" s="1888"/>
      <c r="I94" s="1888"/>
      <c r="J94" s="1888"/>
      <c r="K94" s="1888"/>
      <c r="L94" s="1888"/>
      <c r="M94" s="1888"/>
      <c r="N94" s="1888"/>
      <c r="O94" s="1888"/>
      <c r="P94" s="1888"/>
      <c r="Q94" s="1888"/>
      <c r="R94" s="1888"/>
      <c r="S94" s="1888"/>
      <c r="T94" s="1888"/>
      <c r="U94" s="1888"/>
      <c r="V94" s="1888"/>
      <c r="W94" s="1888"/>
      <c r="X94" s="1888"/>
    </row>
    <row r="95" spans="1:24" x14ac:dyDescent="0.2">
      <c r="A95" s="1888"/>
      <c r="B95" s="1888"/>
      <c r="C95" s="1888"/>
      <c r="D95" s="1888"/>
      <c r="E95" s="1888"/>
      <c r="F95" s="2133"/>
      <c r="G95" s="1888"/>
      <c r="H95" s="1888"/>
      <c r="I95" s="1888"/>
      <c r="J95" s="1888"/>
      <c r="K95" s="1888"/>
      <c r="L95" s="1888"/>
      <c r="M95" s="1888"/>
      <c r="N95" s="1888"/>
      <c r="O95" s="1888"/>
      <c r="P95" s="1888"/>
      <c r="Q95" s="1888"/>
      <c r="R95" s="1888"/>
      <c r="S95" s="1888"/>
      <c r="T95" s="1888"/>
      <c r="U95" s="1888"/>
      <c r="V95" s="1888"/>
      <c r="W95" s="1888"/>
      <c r="X95" s="1888"/>
    </row>
    <row r="96" spans="1:24" x14ac:dyDescent="0.2">
      <c r="A96" s="1888"/>
      <c r="B96" s="1888"/>
      <c r="C96" s="1888"/>
      <c r="D96" s="1888"/>
      <c r="E96" s="1888"/>
      <c r="F96" s="2133"/>
      <c r="G96" s="1888"/>
      <c r="H96" s="1888"/>
      <c r="I96" s="1888"/>
      <c r="J96" s="1888"/>
      <c r="K96" s="1888"/>
      <c r="L96" s="1888"/>
      <c r="M96" s="1888"/>
      <c r="N96" s="1888"/>
      <c r="O96" s="1888"/>
      <c r="P96" s="1888"/>
      <c r="Q96" s="1888"/>
      <c r="R96" s="1888"/>
      <c r="S96" s="1888"/>
      <c r="T96" s="1888"/>
      <c r="U96" s="1888"/>
      <c r="V96" s="1888"/>
      <c r="W96" s="1888"/>
      <c r="X96" s="1888"/>
    </row>
    <row r="97" spans="1:24" x14ac:dyDescent="0.2">
      <c r="A97" s="1888"/>
      <c r="B97" s="1888"/>
      <c r="C97" s="1888"/>
      <c r="D97" s="1888"/>
      <c r="E97" s="1888"/>
      <c r="F97" s="2133"/>
      <c r="G97" s="1888"/>
      <c r="H97" s="1888"/>
      <c r="I97" s="1888"/>
      <c r="J97" s="1888"/>
      <c r="K97" s="1888"/>
      <c r="L97" s="1888"/>
      <c r="M97" s="1888"/>
      <c r="N97" s="1888"/>
      <c r="O97" s="1888"/>
      <c r="P97" s="1888"/>
      <c r="Q97" s="1888"/>
      <c r="R97" s="1888"/>
      <c r="S97" s="1888"/>
      <c r="T97" s="1888"/>
      <c r="U97" s="1888"/>
      <c r="V97" s="1888"/>
      <c r="W97" s="1888"/>
      <c r="X97" s="1888"/>
    </row>
    <row r="98" spans="1:24" x14ac:dyDescent="0.2">
      <c r="A98" s="1888"/>
      <c r="B98" s="1888"/>
      <c r="C98" s="1888"/>
      <c r="D98" s="1888"/>
      <c r="E98" s="1888"/>
      <c r="F98" s="2133"/>
      <c r="G98" s="1888"/>
      <c r="H98" s="1888"/>
      <c r="I98" s="1888"/>
      <c r="J98" s="1888"/>
      <c r="K98" s="1888"/>
      <c r="L98" s="1888"/>
      <c r="M98" s="1888"/>
      <c r="N98" s="1888"/>
      <c r="O98" s="1888"/>
      <c r="P98" s="1888"/>
      <c r="Q98" s="1888"/>
      <c r="R98" s="1888"/>
      <c r="S98" s="1888"/>
      <c r="T98" s="1888"/>
      <c r="U98" s="1888"/>
      <c r="V98" s="1888"/>
      <c r="W98" s="1888"/>
      <c r="X98" s="1888"/>
    </row>
    <row r="99" spans="1:24" x14ac:dyDescent="0.2">
      <c r="A99" s="1888"/>
      <c r="B99" s="1888"/>
      <c r="C99" s="1888"/>
      <c r="D99" s="1888"/>
      <c r="E99" s="1888"/>
      <c r="F99" s="2133"/>
      <c r="G99" s="1888"/>
      <c r="H99" s="1888"/>
      <c r="I99" s="1888"/>
      <c r="J99" s="1888"/>
      <c r="K99" s="1888"/>
      <c r="L99" s="1888"/>
      <c r="M99" s="1888"/>
      <c r="N99" s="1888"/>
      <c r="O99" s="1888"/>
      <c r="P99" s="1888"/>
      <c r="Q99" s="1888"/>
      <c r="R99" s="1888"/>
      <c r="S99" s="1888"/>
      <c r="T99" s="1888"/>
      <c r="U99" s="1888"/>
      <c r="V99" s="1888"/>
      <c r="W99" s="1888"/>
      <c r="X99" s="1888"/>
    </row>
    <row r="100" spans="1:24" x14ac:dyDescent="0.2">
      <c r="A100" s="1888"/>
      <c r="B100" s="1888"/>
      <c r="C100" s="1888"/>
      <c r="D100" s="1888"/>
      <c r="E100" s="1888"/>
      <c r="F100" s="2133"/>
      <c r="G100" s="1888"/>
      <c r="H100" s="1888"/>
      <c r="I100" s="1888"/>
      <c r="J100" s="1888"/>
      <c r="K100" s="1888"/>
      <c r="L100" s="1888"/>
      <c r="M100" s="1888"/>
      <c r="N100" s="1888"/>
      <c r="O100" s="1888"/>
      <c r="P100" s="1888"/>
      <c r="Q100" s="1888"/>
      <c r="R100" s="1888"/>
      <c r="S100" s="1888"/>
      <c r="T100" s="1888"/>
      <c r="U100" s="1888"/>
      <c r="V100" s="1888"/>
      <c r="W100" s="1888"/>
      <c r="X100" s="1888"/>
    </row>
    <row r="101" spans="1:24" x14ac:dyDescent="0.2">
      <c r="A101" s="1888"/>
      <c r="B101" s="1888"/>
      <c r="C101" s="1888"/>
      <c r="D101" s="1888"/>
      <c r="E101" s="1888"/>
      <c r="F101" s="2133"/>
      <c r="G101" s="1888"/>
      <c r="H101" s="1888"/>
      <c r="I101" s="1888"/>
      <c r="J101" s="1888"/>
      <c r="K101" s="1888"/>
      <c r="L101" s="1888"/>
      <c r="M101" s="1888"/>
      <c r="N101" s="1888"/>
      <c r="O101" s="1888"/>
      <c r="P101" s="1888"/>
      <c r="Q101" s="1888"/>
      <c r="R101" s="1888"/>
      <c r="S101" s="1888"/>
      <c r="T101" s="1888"/>
      <c r="U101" s="1888"/>
      <c r="V101" s="1888"/>
      <c r="W101" s="1888"/>
      <c r="X101" s="1888"/>
    </row>
    <row r="102" spans="1:24" x14ac:dyDescent="0.2">
      <c r="A102" s="1888"/>
      <c r="B102" s="1888"/>
      <c r="C102" s="1888"/>
      <c r="D102" s="1888"/>
      <c r="E102" s="1888"/>
      <c r="F102" s="2133"/>
      <c r="G102" s="1888"/>
      <c r="H102" s="1888"/>
      <c r="I102" s="1888"/>
      <c r="J102" s="1888"/>
      <c r="K102" s="1888"/>
      <c r="L102" s="1888"/>
      <c r="M102" s="1888"/>
      <c r="N102" s="1888"/>
      <c r="O102" s="1888"/>
      <c r="P102" s="1888"/>
      <c r="Q102" s="1888"/>
      <c r="R102" s="1888"/>
      <c r="S102" s="1888"/>
      <c r="T102" s="1888"/>
      <c r="U102" s="1888"/>
      <c r="V102" s="1888"/>
      <c r="W102" s="1888"/>
      <c r="X102" s="1888"/>
    </row>
    <row r="103" spans="1:24" x14ac:dyDescent="0.2">
      <c r="A103" s="1888"/>
      <c r="B103" s="1888"/>
      <c r="C103" s="1888"/>
      <c r="D103" s="1888"/>
      <c r="E103" s="1888"/>
      <c r="F103" s="2133"/>
      <c r="G103" s="1888"/>
      <c r="H103" s="1888"/>
      <c r="I103" s="1888"/>
      <c r="J103" s="1888"/>
      <c r="K103" s="1888"/>
      <c r="L103" s="1888"/>
      <c r="M103" s="1888"/>
      <c r="N103" s="1888"/>
      <c r="O103" s="1888"/>
      <c r="P103" s="1888"/>
      <c r="Q103" s="1888"/>
      <c r="R103" s="1888"/>
      <c r="S103" s="1888"/>
      <c r="T103" s="1888"/>
      <c r="U103" s="1888"/>
      <c r="V103" s="1888"/>
      <c r="W103" s="1888"/>
      <c r="X103" s="1888"/>
    </row>
    <row r="104" spans="1:24" x14ac:dyDescent="0.2">
      <c r="A104" s="1888"/>
      <c r="B104" s="1888"/>
      <c r="C104" s="1888"/>
      <c r="D104" s="1888"/>
      <c r="E104" s="1888"/>
      <c r="F104" s="2133"/>
      <c r="G104" s="1888"/>
      <c r="H104" s="1888"/>
      <c r="I104" s="1888"/>
      <c r="J104" s="1888"/>
      <c r="K104" s="1888"/>
      <c r="L104" s="1888"/>
      <c r="M104" s="1888"/>
      <c r="N104" s="1888"/>
      <c r="O104" s="1888"/>
      <c r="P104" s="1888"/>
      <c r="Q104" s="1888"/>
      <c r="R104" s="1888"/>
      <c r="S104" s="1888"/>
      <c r="T104" s="1888"/>
      <c r="U104" s="1888"/>
      <c r="V104" s="1888"/>
      <c r="W104" s="1888"/>
      <c r="X104" s="1888"/>
    </row>
    <row r="105" spans="1:24" x14ac:dyDescent="0.2">
      <c r="A105" s="1888"/>
      <c r="B105" s="1888"/>
      <c r="C105" s="1888"/>
      <c r="D105" s="1888"/>
      <c r="E105" s="1888"/>
      <c r="F105" s="2133"/>
      <c r="G105" s="1888"/>
      <c r="H105" s="1888"/>
      <c r="I105" s="1888"/>
      <c r="J105" s="1888"/>
      <c r="K105" s="1888"/>
      <c r="L105" s="1888"/>
      <c r="M105" s="1888"/>
      <c r="N105" s="1888"/>
      <c r="O105" s="1888"/>
      <c r="P105" s="1888"/>
      <c r="Q105" s="1888"/>
      <c r="R105" s="1888"/>
      <c r="S105" s="1888"/>
      <c r="T105" s="1888"/>
      <c r="U105" s="1888"/>
      <c r="V105" s="1888"/>
      <c r="W105" s="1888"/>
      <c r="X105" s="1888"/>
    </row>
    <row r="106" spans="1:24" x14ac:dyDescent="0.2">
      <c r="A106" s="1888"/>
      <c r="B106" s="1888"/>
      <c r="C106" s="1888"/>
      <c r="D106" s="1888"/>
      <c r="E106" s="1888"/>
      <c r="F106" s="2133"/>
      <c r="G106" s="1888"/>
      <c r="H106" s="1888"/>
      <c r="I106" s="1888"/>
      <c r="J106" s="1888"/>
      <c r="K106" s="1888"/>
      <c r="L106" s="1888"/>
      <c r="M106" s="1888"/>
      <c r="N106" s="1888"/>
      <c r="O106" s="1888"/>
      <c r="P106" s="1888"/>
      <c r="Q106" s="1888"/>
      <c r="R106" s="1888"/>
      <c r="S106" s="1888"/>
      <c r="T106" s="1888"/>
      <c r="U106" s="1888"/>
      <c r="V106" s="1888"/>
      <c r="W106" s="1888"/>
      <c r="X106" s="1888"/>
    </row>
    <row r="107" spans="1:24" x14ac:dyDescent="0.2">
      <c r="A107" s="1888"/>
      <c r="B107" s="1888"/>
      <c r="C107" s="1888"/>
      <c r="D107" s="1888"/>
      <c r="E107" s="1888"/>
      <c r="F107" s="2133"/>
      <c r="G107" s="1888"/>
      <c r="H107" s="1888"/>
      <c r="I107" s="1888"/>
      <c r="J107" s="1888"/>
      <c r="K107" s="1888"/>
      <c r="L107" s="1888"/>
      <c r="M107" s="1888"/>
      <c r="N107" s="1888"/>
      <c r="O107" s="1888"/>
      <c r="P107" s="1888"/>
      <c r="Q107" s="1888"/>
      <c r="R107" s="1888"/>
      <c r="S107" s="1888"/>
      <c r="T107" s="1888"/>
      <c r="U107" s="1888"/>
      <c r="V107" s="1888"/>
      <c r="W107" s="1888"/>
      <c r="X107" s="1888"/>
    </row>
    <row r="108" spans="1:24" x14ac:dyDescent="0.2">
      <c r="A108" s="1888"/>
      <c r="B108" s="1888"/>
      <c r="C108" s="1888"/>
      <c r="D108" s="1888"/>
      <c r="E108" s="1888"/>
      <c r="F108" s="2133"/>
      <c r="G108" s="1888"/>
      <c r="H108" s="1888"/>
      <c r="I108" s="1888"/>
      <c r="J108" s="1888"/>
      <c r="K108" s="1888"/>
      <c r="L108" s="1888"/>
      <c r="M108" s="1888"/>
      <c r="N108" s="1888"/>
      <c r="O108" s="1888"/>
      <c r="P108" s="1888"/>
      <c r="Q108" s="1888"/>
      <c r="R108" s="1888"/>
      <c r="S108" s="1888"/>
      <c r="T108" s="1888"/>
      <c r="U108" s="1888"/>
      <c r="V108" s="1888"/>
      <c r="W108" s="1888"/>
      <c r="X108" s="1888"/>
    </row>
    <row r="109" spans="1:24" x14ac:dyDescent="0.2">
      <c r="A109" s="1888"/>
      <c r="B109" s="1888"/>
      <c r="C109" s="1888"/>
      <c r="D109" s="1888"/>
      <c r="E109" s="1888"/>
      <c r="F109" s="2133"/>
      <c r="G109" s="1888"/>
      <c r="H109" s="1888"/>
      <c r="I109" s="1888"/>
      <c r="J109" s="1888"/>
      <c r="K109" s="1888"/>
      <c r="L109" s="1888"/>
      <c r="M109" s="1888"/>
      <c r="N109" s="1888"/>
      <c r="O109" s="1888"/>
      <c r="P109" s="1888"/>
      <c r="Q109" s="1888"/>
      <c r="R109" s="1888"/>
      <c r="S109" s="1888"/>
      <c r="T109" s="1888"/>
      <c r="U109" s="1888"/>
      <c r="V109" s="1888"/>
      <c r="W109" s="1888"/>
      <c r="X109" s="1888"/>
    </row>
    <row r="110" spans="1:24" x14ac:dyDescent="0.2">
      <c r="A110" s="1888"/>
      <c r="B110" s="1888"/>
      <c r="C110" s="1888"/>
      <c r="D110" s="1888"/>
      <c r="E110" s="1888"/>
      <c r="F110" s="2133"/>
      <c r="G110" s="1888"/>
      <c r="H110" s="1888"/>
      <c r="I110" s="1888"/>
      <c r="J110" s="1888"/>
      <c r="K110" s="1888"/>
      <c r="L110" s="1888"/>
      <c r="M110" s="1888"/>
      <c r="N110" s="1888"/>
      <c r="O110" s="1888"/>
      <c r="P110" s="1888"/>
      <c r="Q110" s="1888"/>
      <c r="R110" s="1888"/>
      <c r="S110" s="1888"/>
      <c r="T110" s="1888"/>
      <c r="U110" s="1888"/>
      <c r="V110" s="1888"/>
      <c r="W110" s="1888"/>
      <c r="X110" s="1888"/>
    </row>
    <row r="111" spans="1:24" x14ac:dyDescent="0.2">
      <c r="A111" s="1888"/>
      <c r="B111" s="1888"/>
      <c r="C111" s="1888"/>
      <c r="D111" s="1888"/>
      <c r="E111" s="1888"/>
      <c r="F111" s="2133"/>
      <c r="G111" s="1888"/>
      <c r="H111" s="1888"/>
      <c r="I111" s="1888"/>
      <c r="J111" s="1888"/>
      <c r="K111" s="1888"/>
      <c r="L111" s="1888"/>
      <c r="M111" s="1888"/>
      <c r="N111" s="1888"/>
      <c r="O111" s="1888"/>
      <c r="P111" s="1888"/>
      <c r="Q111" s="1888"/>
      <c r="R111" s="1888"/>
      <c r="S111" s="1888"/>
      <c r="T111" s="1888"/>
      <c r="U111" s="1888"/>
      <c r="V111" s="1888"/>
      <c r="W111" s="1888"/>
      <c r="X111" s="1888"/>
    </row>
    <row r="112" spans="1:24" x14ac:dyDescent="0.2">
      <c r="A112" s="1888"/>
      <c r="B112" s="1888"/>
      <c r="C112" s="1888"/>
      <c r="D112" s="1888"/>
      <c r="E112" s="1888"/>
      <c r="F112" s="2133"/>
      <c r="G112" s="1888"/>
      <c r="H112" s="1888"/>
      <c r="I112" s="1888"/>
      <c r="J112" s="1888"/>
      <c r="K112" s="1888"/>
      <c r="L112" s="1888"/>
      <c r="M112" s="1888"/>
      <c r="N112" s="1888"/>
      <c r="O112" s="1888"/>
      <c r="P112" s="1888"/>
      <c r="Q112" s="1888"/>
      <c r="R112" s="1888"/>
      <c r="S112" s="1888"/>
      <c r="T112" s="1888"/>
      <c r="U112" s="1888"/>
      <c r="V112" s="1888"/>
      <c r="W112" s="1888"/>
      <c r="X112" s="1888"/>
    </row>
    <row r="113" spans="1:24" x14ac:dyDescent="0.2">
      <c r="A113" s="1888"/>
      <c r="B113" s="1888"/>
      <c r="C113" s="1888"/>
      <c r="D113" s="1888"/>
      <c r="E113" s="1888"/>
      <c r="F113" s="2133"/>
      <c r="G113" s="1888"/>
      <c r="H113" s="1888"/>
      <c r="I113" s="1888"/>
      <c r="J113" s="1888"/>
      <c r="K113" s="1888"/>
      <c r="L113" s="1888"/>
      <c r="M113" s="1888"/>
      <c r="N113" s="1888"/>
      <c r="O113" s="1888"/>
      <c r="P113" s="1888"/>
      <c r="Q113" s="1888"/>
      <c r="R113" s="1888"/>
      <c r="S113" s="1888"/>
      <c r="T113" s="1888"/>
      <c r="U113" s="1888"/>
      <c r="V113" s="1888"/>
      <c r="W113" s="1888"/>
      <c r="X113" s="1888"/>
    </row>
    <row r="114" spans="1:24" x14ac:dyDescent="0.2">
      <c r="A114" s="1888"/>
      <c r="B114" s="1888"/>
      <c r="C114" s="1888"/>
      <c r="D114" s="1888"/>
      <c r="E114" s="1888"/>
      <c r="F114" s="2133"/>
      <c r="G114" s="1888"/>
      <c r="H114" s="1888"/>
      <c r="I114" s="1888"/>
      <c r="J114" s="1888"/>
      <c r="K114" s="1888"/>
      <c r="L114" s="1888"/>
      <c r="M114" s="1888"/>
      <c r="N114" s="1888"/>
      <c r="O114" s="1888"/>
      <c r="P114" s="1888"/>
      <c r="Q114" s="1888"/>
      <c r="R114" s="1888"/>
      <c r="S114" s="1888"/>
      <c r="T114" s="1888"/>
      <c r="U114" s="1888"/>
      <c r="V114" s="1888"/>
      <c r="W114" s="1888"/>
      <c r="X114" s="1888"/>
    </row>
    <row r="115" spans="1:24" x14ac:dyDescent="0.2">
      <c r="A115" s="1888"/>
      <c r="B115" s="1888"/>
      <c r="C115" s="1888"/>
      <c r="D115" s="1888"/>
      <c r="E115" s="1888"/>
      <c r="F115" s="2133"/>
      <c r="G115" s="1888"/>
      <c r="H115" s="1888"/>
      <c r="I115" s="1888"/>
      <c r="J115" s="1888"/>
      <c r="K115" s="1888"/>
      <c r="L115" s="1888"/>
      <c r="M115" s="1888"/>
      <c r="N115" s="1888"/>
      <c r="O115" s="1888"/>
      <c r="P115" s="1888"/>
      <c r="Q115" s="1888"/>
      <c r="R115" s="1888"/>
      <c r="S115" s="1888"/>
      <c r="T115" s="1888"/>
      <c r="U115" s="1888"/>
      <c r="V115" s="1888"/>
      <c r="W115" s="1888"/>
      <c r="X115" s="1888"/>
    </row>
    <row r="116" spans="1:24" x14ac:dyDescent="0.2">
      <c r="A116" s="1888"/>
      <c r="B116" s="1888"/>
      <c r="C116" s="1888"/>
      <c r="D116" s="1888"/>
      <c r="E116" s="1888"/>
      <c r="F116" s="2133"/>
      <c r="G116" s="1888"/>
      <c r="H116" s="1888"/>
      <c r="I116" s="1888"/>
      <c r="J116" s="1888"/>
      <c r="K116" s="1888"/>
      <c r="L116" s="1888"/>
      <c r="M116" s="1888"/>
      <c r="N116" s="1888"/>
      <c r="O116" s="1888"/>
      <c r="P116" s="1888"/>
      <c r="Q116" s="1888"/>
      <c r="R116" s="1888"/>
      <c r="S116" s="1888"/>
      <c r="T116" s="1888"/>
      <c r="U116" s="1888"/>
      <c r="V116" s="1888"/>
      <c r="W116" s="1888"/>
      <c r="X116" s="1888"/>
    </row>
    <row r="117" spans="1:24" x14ac:dyDescent="0.2">
      <c r="A117" s="1888"/>
      <c r="B117" s="1888"/>
      <c r="C117" s="1888"/>
      <c r="D117" s="1888"/>
      <c r="E117" s="1888"/>
      <c r="F117" s="2133"/>
      <c r="G117" s="1888"/>
      <c r="H117" s="1888"/>
      <c r="I117" s="1888"/>
      <c r="J117" s="1888"/>
      <c r="K117" s="1888"/>
      <c r="L117" s="1888"/>
      <c r="M117" s="1888"/>
      <c r="N117" s="1888"/>
      <c r="O117" s="1888"/>
      <c r="P117" s="1888"/>
      <c r="Q117" s="1888"/>
      <c r="R117" s="1888"/>
      <c r="S117" s="1888"/>
      <c r="T117" s="1888"/>
      <c r="U117" s="1888"/>
      <c r="V117" s="1888"/>
      <c r="W117" s="1888"/>
      <c r="X117" s="1888"/>
    </row>
    <row r="118" spans="1:24" x14ac:dyDescent="0.2">
      <c r="A118" s="1888"/>
      <c r="B118" s="1888"/>
      <c r="C118" s="1888"/>
      <c r="D118" s="1888"/>
      <c r="E118" s="1888"/>
      <c r="F118" s="2133"/>
      <c r="G118" s="1888"/>
      <c r="H118" s="1888"/>
      <c r="I118" s="1888"/>
      <c r="J118" s="1888"/>
      <c r="K118" s="1888"/>
      <c r="L118" s="1888"/>
      <c r="M118" s="1888"/>
      <c r="N118" s="1888"/>
      <c r="O118" s="1888"/>
      <c r="P118" s="1888"/>
      <c r="Q118" s="1888"/>
      <c r="R118" s="1888"/>
      <c r="S118" s="1888"/>
      <c r="T118" s="1888"/>
      <c r="U118" s="1888"/>
      <c r="V118" s="1888"/>
      <c r="W118" s="1888"/>
      <c r="X118" s="1888"/>
    </row>
    <row r="119" spans="1:24" x14ac:dyDescent="0.2">
      <c r="A119" s="1888"/>
      <c r="B119" s="1888"/>
      <c r="C119" s="1888"/>
      <c r="D119" s="1888"/>
      <c r="E119" s="1888"/>
      <c r="F119" s="2133"/>
      <c r="G119" s="1888"/>
      <c r="H119" s="1888"/>
      <c r="I119" s="1888"/>
      <c r="J119" s="1888"/>
      <c r="K119" s="1888"/>
      <c r="L119" s="1888"/>
      <c r="M119" s="1888"/>
      <c r="N119" s="1888"/>
      <c r="O119" s="1888"/>
      <c r="P119" s="1888"/>
      <c r="Q119" s="1888"/>
      <c r="R119" s="1888"/>
      <c r="S119" s="1888"/>
      <c r="T119" s="1888"/>
      <c r="U119" s="1888"/>
      <c r="V119" s="1888"/>
      <c r="W119" s="1888"/>
      <c r="X119" s="1888"/>
    </row>
    <row r="120" spans="1:24" x14ac:dyDescent="0.2">
      <c r="A120" s="1888"/>
      <c r="B120" s="1888"/>
      <c r="C120" s="1888"/>
      <c r="D120" s="1888"/>
      <c r="E120" s="1888"/>
      <c r="F120" s="2133"/>
      <c r="G120" s="1888"/>
      <c r="H120" s="1888"/>
      <c r="I120" s="1888"/>
      <c r="J120" s="1888"/>
      <c r="K120" s="1888"/>
      <c r="L120" s="1888"/>
      <c r="M120" s="1888"/>
      <c r="N120" s="1888"/>
      <c r="O120" s="1888"/>
      <c r="P120" s="1888"/>
      <c r="Q120" s="1888"/>
      <c r="R120" s="1888"/>
      <c r="S120" s="1888"/>
      <c r="T120" s="1888"/>
      <c r="U120" s="1888"/>
      <c r="V120" s="1888"/>
      <c r="W120" s="1888"/>
      <c r="X120" s="1888"/>
    </row>
    <row r="121" spans="1:24" x14ac:dyDescent="0.2">
      <c r="A121" s="1888"/>
      <c r="B121" s="1888"/>
      <c r="C121" s="1888"/>
      <c r="D121" s="1888"/>
      <c r="E121" s="1888"/>
      <c r="F121" s="2133"/>
      <c r="G121" s="1888"/>
      <c r="H121" s="1888"/>
      <c r="I121" s="1888"/>
      <c r="J121" s="1888"/>
      <c r="K121" s="1888"/>
      <c r="L121" s="1888"/>
      <c r="M121" s="1888"/>
      <c r="N121" s="1888"/>
      <c r="O121" s="1888"/>
      <c r="P121" s="1888"/>
      <c r="Q121" s="1888"/>
      <c r="R121" s="1888"/>
      <c r="S121" s="1888"/>
      <c r="T121" s="1888"/>
      <c r="U121" s="1888"/>
      <c r="V121" s="1888"/>
      <c r="W121" s="1888"/>
      <c r="X121" s="1888"/>
    </row>
    <row r="122" spans="1:24" x14ac:dyDescent="0.2">
      <c r="A122" s="1888"/>
      <c r="B122" s="1888"/>
      <c r="C122" s="1888"/>
      <c r="D122" s="1888"/>
      <c r="E122" s="1888"/>
      <c r="F122" s="2133"/>
      <c r="G122" s="1888"/>
      <c r="H122" s="1888"/>
      <c r="I122" s="1888"/>
      <c r="J122" s="1888"/>
      <c r="K122" s="1888"/>
      <c r="L122" s="1888"/>
      <c r="M122" s="1888"/>
      <c r="N122" s="1888"/>
      <c r="O122" s="1888"/>
      <c r="P122" s="1888"/>
      <c r="Q122" s="1888"/>
      <c r="R122" s="1888"/>
      <c r="S122" s="1888"/>
      <c r="T122" s="1888"/>
      <c r="U122" s="1888"/>
      <c r="V122" s="1888"/>
      <c r="W122" s="1888"/>
      <c r="X122" s="1888"/>
    </row>
    <row r="123" spans="1:24" x14ac:dyDescent="0.2">
      <c r="A123" s="1888"/>
      <c r="B123" s="1888"/>
      <c r="C123" s="1888"/>
      <c r="D123" s="1888"/>
      <c r="E123" s="1888"/>
      <c r="F123" s="2133"/>
      <c r="G123" s="1888"/>
      <c r="H123" s="1888"/>
      <c r="I123" s="1888"/>
      <c r="J123" s="1888"/>
      <c r="K123" s="1888"/>
      <c r="L123" s="1888"/>
      <c r="M123" s="1888"/>
      <c r="N123" s="1888"/>
      <c r="O123" s="1888"/>
      <c r="P123" s="1888"/>
      <c r="Q123" s="1888"/>
      <c r="R123" s="1888"/>
      <c r="S123" s="1888"/>
      <c r="T123" s="1888"/>
      <c r="U123" s="1888"/>
      <c r="V123" s="1888"/>
      <c r="W123" s="1888"/>
      <c r="X123" s="1888"/>
    </row>
    <row r="124" spans="1:24" x14ac:dyDescent="0.2">
      <c r="A124" s="1888"/>
      <c r="B124" s="1888"/>
      <c r="C124" s="1888"/>
      <c r="D124" s="1888"/>
      <c r="E124" s="1888"/>
      <c r="F124" s="2133"/>
      <c r="G124" s="1888"/>
      <c r="H124" s="1888"/>
      <c r="I124" s="1888"/>
      <c r="J124" s="1888"/>
      <c r="K124" s="1888"/>
      <c r="L124" s="1888"/>
      <c r="M124" s="1888"/>
      <c r="N124" s="1888"/>
      <c r="O124" s="1888"/>
      <c r="P124" s="1888"/>
      <c r="Q124" s="1888"/>
      <c r="R124" s="1888"/>
      <c r="S124" s="1888"/>
      <c r="T124" s="1888"/>
      <c r="U124" s="1888"/>
      <c r="V124" s="1888"/>
      <c r="W124" s="1888"/>
      <c r="X124" s="1888"/>
    </row>
    <row r="125" spans="1:24" x14ac:dyDescent="0.2">
      <c r="A125" s="1888"/>
      <c r="B125" s="1888"/>
      <c r="C125" s="1888"/>
      <c r="D125" s="1888"/>
      <c r="E125" s="1888"/>
      <c r="F125" s="2133"/>
      <c r="G125" s="1888"/>
      <c r="H125" s="1888"/>
      <c r="I125" s="1888"/>
      <c r="J125" s="1888"/>
      <c r="K125" s="1888"/>
      <c r="L125" s="1888"/>
      <c r="M125" s="1888"/>
      <c r="N125" s="1888"/>
      <c r="O125" s="1888"/>
      <c r="P125" s="1888"/>
      <c r="Q125" s="1888"/>
      <c r="R125" s="1888"/>
      <c r="S125" s="1888"/>
      <c r="T125" s="1888"/>
      <c r="U125" s="1888"/>
      <c r="V125" s="1888"/>
      <c r="W125" s="1888"/>
      <c r="X125" s="1888"/>
    </row>
    <row r="126" spans="1:24" x14ac:dyDescent="0.2">
      <c r="A126" s="1888"/>
      <c r="B126" s="1888"/>
      <c r="C126" s="1888"/>
      <c r="D126" s="1888"/>
      <c r="E126" s="1888"/>
      <c r="F126" s="2133"/>
      <c r="G126" s="1888"/>
      <c r="H126" s="1888"/>
      <c r="I126" s="1888"/>
      <c r="J126" s="1888"/>
      <c r="K126" s="1888"/>
      <c r="L126" s="1888"/>
      <c r="M126" s="1888"/>
      <c r="N126" s="1888"/>
      <c r="O126" s="1888"/>
      <c r="P126" s="1888"/>
      <c r="Q126" s="1888"/>
      <c r="R126" s="1888"/>
      <c r="S126" s="1888"/>
      <c r="T126" s="1888"/>
      <c r="U126" s="1888"/>
      <c r="V126" s="1888"/>
      <c r="W126" s="1888"/>
      <c r="X126" s="1888"/>
    </row>
    <row r="127" spans="1:24" x14ac:dyDescent="0.2">
      <c r="A127" s="1888"/>
      <c r="B127" s="1888"/>
      <c r="C127" s="1888"/>
      <c r="D127" s="1888"/>
      <c r="E127" s="1888"/>
      <c r="F127" s="2133"/>
      <c r="G127" s="1888"/>
      <c r="H127" s="1888"/>
      <c r="I127" s="1888"/>
      <c r="J127" s="1888"/>
      <c r="K127" s="1888"/>
      <c r="L127" s="1888"/>
      <c r="M127" s="1888"/>
      <c r="N127" s="1888"/>
      <c r="O127" s="1888"/>
      <c r="P127" s="1888"/>
      <c r="Q127" s="1888"/>
      <c r="R127" s="1888"/>
      <c r="S127" s="1888"/>
      <c r="T127" s="1888"/>
      <c r="U127" s="1888"/>
      <c r="V127" s="1888"/>
      <c r="W127" s="1888"/>
      <c r="X127" s="1888"/>
    </row>
    <row r="128" spans="1:24" x14ac:dyDescent="0.2">
      <c r="A128" s="1888"/>
      <c r="B128" s="1888"/>
      <c r="C128" s="1888"/>
      <c r="D128" s="1888"/>
      <c r="E128" s="1888"/>
      <c r="F128" s="2133"/>
      <c r="G128" s="1888"/>
      <c r="H128" s="1888"/>
      <c r="I128" s="1888"/>
      <c r="J128" s="1888"/>
      <c r="K128" s="1888"/>
      <c r="L128" s="1888"/>
      <c r="M128" s="1888"/>
      <c r="N128" s="1888"/>
      <c r="O128" s="1888"/>
      <c r="P128" s="1888"/>
      <c r="Q128" s="1888"/>
      <c r="R128" s="1888"/>
      <c r="S128" s="1888"/>
      <c r="T128" s="1888"/>
      <c r="U128" s="1888"/>
      <c r="V128" s="1888"/>
      <c r="W128" s="1888"/>
      <c r="X128" s="1888"/>
    </row>
    <row r="129" spans="1:24" x14ac:dyDescent="0.2">
      <c r="A129" s="1888"/>
      <c r="B129" s="1888"/>
      <c r="C129" s="1888"/>
      <c r="D129" s="1888"/>
      <c r="E129" s="1888"/>
      <c r="F129" s="2133"/>
      <c r="G129" s="1888"/>
      <c r="H129" s="1888"/>
      <c r="I129" s="1888"/>
      <c r="J129" s="1888"/>
      <c r="K129" s="1888"/>
      <c r="L129" s="1888"/>
      <c r="M129" s="1888"/>
      <c r="N129" s="1888"/>
      <c r="O129" s="1888"/>
      <c r="P129" s="1888"/>
      <c r="Q129" s="1888"/>
      <c r="R129" s="1888"/>
      <c r="S129" s="1888"/>
      <c r="T129" s="1888"/>
      <c r="U129" s="1888"/>
      <c r="V129" s="1888"/>
      <c r="W129" s="1888"/>
      <c r="X129" s="1888"/>
    </row>
    <row r="130" spans="1:24" x14ac:dyDescent="0.2">
      <c r="A130" s="1888"/>
      <c r="B130" s="1888"/>
      <c r="C130" s="1888"/>
      <c r="D130" s="1888"/>
      <c r="E130" s="1888"/>
      <c r="F130" s="2133"/>
      <c r="G130" s="1888"/>
      <c r="H130" s="1888"/>
      <c r="I130" s="1888"/>
      <c r="J130" s="1888"/>
      <c r="K130" s="1888"/>
      <c r="L130" s="1888"/>
      <c r="M130" s="1888"/>
      <c r="N130" s="1888"/>
      <c r="O130" s="1888"/>
      <c r="P130" s="1888"/>
      <c r="Q130" s="1888"/>
      <c r="R130" s="1888"/>
      <c r="S130" s="1888"/>
      <c r="T130" s="1888"/>
      <c r="U130" s="1888"/>
      <c r="V130" s="1888"/>
      <c r="W130" s="1888"/>
      <c r="X130" s="1888"/>
    </row>
    <row r="131" spans="1:24" x14ac:dyDescent="0.2">
      <c r="A131" s="1888"/>
      <c r="B131" s="1888"/>
      <c r="C131" s="1888"/>
      <c r="D131" s="1888"/>
      <c r="E131" s="1888"/>
      <c r="F131" s="2133"/>
      <c r="G131" s="1888"/>
      <c r="H131" s="1888"/>
      <c r="I131" s="1888"/>
      <c r="J131" s="1888"/>
      <c r="K131" s="1888"/>
      <c r="L131" s="1888"/>
      <c r="M131" s="1888"/>
      <c r="N131" s="1888"/>
      <c r="O131" s="1888"/>
      <c r="P131" s="1888"/>
      <c r="Q131" s="1888"/>
      <c r="R131" s="1888"/>
      <c r="S131" s="1888"/>
      <c r="T131" s="1888"/>
      <c r="U131" s="1888"/>
      <c r="V131" s="1888"/>
      <c r="W131" s="1888"/>
      <c r="X131" s="1888"/>
    </row>
    <row r="132" spans="1:24" x14ac:dyDescent="0.2">
      <c r="A132" s="1888"/>
      <c r="B132" s="1888"/>
      <c r="C132" s="1888"/>
      <c r="D132" s="1888"/>
      <c r="E132" s="1888"/>
      <c r="F132" s="2133"/>
      <c r="G132" s="1888"/>
      <c r="H132" s="1888"/>
      <c r="I132" s="1888"/>
      <c r="J132" s="1888"/>
      <c r="K132" s="1888"/>
      <c r="L132" s="1888"/>
      <c r="M132" s="1888"/>
      <c r="N132" s="1888"/>
      <c r="O132" s="1888"/>
      <c r="P132" s="1888"/>
      <c r="Q132" s="1888"/>
      <c r="R132" s="1888"/>
      <c r="S132" s="1888"/>
      <c r="T132" s="1888"/>
      <c r="U132" s="1888"/>
      <c r="V132" s="1888"/>
      <c r="W132" s="1888"/>
      <c r="X132" s="1888"/>
    </row>
    <row r="133" spans="1:24" x14ac:dyDescent="0.2">
      <c r="A133" s="1888"/>
      <c r="B133" s="1888"/>
      <c r="C133" s="1888"/>
      <c r="D133" s="1888"/>
      <c r="E133" s="1888"/>
      <c r="F133" s="2133"/>
      <c r="G133" s="1888"/>
      <c r="H133" s="1888"/>
      <c r="I133" s="1888"/>
      <c r="J133" s="1888"/>
      <c r="K133" s="1888"/>
      <c r="L133" s="1888"/>
      <c r="M133" s="1888"/>
      <c r="N133" s="1888"/>
      <c r="O133" s="1888"/>
      <c r="P133" s="1888"/>
      <c r="Q133" s="1888"/>
      <c r="R133" s="1888"/>
      <c r="S133" s="1888"/>
      <c r="T133" s="1888"/>
      <c r="U133" s="1888"/>
      <c r="V133" s="1888"/>
      <c r="W133" s="1888"/>
      <c r="X133" s="1888"/>
    </row>
    <row r="134" spans="1:24" x14ac:dyDescent="0.2">
      <c r="A134" s="1888"/>
      <c r="B134" s="1888"/>
      <c r="C134" s="1888"/>
      <c r="D134" s="1888"/>
      <c r="E134" s="1888"/>
      <c r="F134" s="2133"/>
      <c r="G134" s="1888"/>
      <c r="H134" s="1888"/>
      <c r="I134" s="1888"/>
      <c r="J134" s="1888"/>
      <c r="K134" s="1888"/>
      <c r="L134" s="1888"/>
      <c r="M134" s="1888"/>
      <c r="N134" s="1888"/>
      <c r="O134" s="1888"/>
      <c r="P134" s="1888"/>
      <c r="Q134" s="1888"/>
      <c r="R134" s="1888"/>
      <c r="S134" s="1888"/>
      <c r="T134" s="1888"/>
      <c r="U134" s="1888"/>
      <c r="V134" s="1888"/>
      <c r="W134" s="1888"/>
      <c r="X134" s="1888"/>
    </row>
    <row r="135" spans="1:24" x14ac:dyDescent="0.2">
      <c r="A135" s="1888"/>
      <c r="B135" s="1888"/>
      <c r="C135" s="1888"/>
      <c r="D135" s="1888"/>
      <c r="E135" s="1888"/>
      <c r="F135" s="2133"/>
      <c r="G135" s="1888"/>
      <c r="H135" s="1888"/>
      <c r="I135" s="1888"/>
      <c r="J135" s="1888"/>
      <c r="K135" s="1888"/>
      <c r="L135" s="1888"/>
      <c r="M135" s="1888"/>
      <c r="N135" s="1888"/>
      <c r="O135" s="1888"/>
      <c r="P135" s="1888"/>
      <c r="Q135" s="1888"/>
      <c r="R135" s="1888"/>
      <c r="S135" s="1888"/>
      <c r="T135" s="1888"/>
      <c r="U135" s="1888"/>
      <c r="V135" s="1888"/>
      <c r="W135" s="1888"/>
      <c r="X135" s="1888"/>
    </row>
    <row r="136" spans="1:24" x14ac:dyDescent="0.2">
      <c r="A136" s="1888"/>
      <c r="B136" s="1888"/>
      <c r="C136" s="1888"/>
      <c r="D136" s="1888"/>
      <c r="E136" s="1888"/>
      <c r="F136" s="2133"/>
      <c r="G136" s="1888"/>
      <c r="H136" s="1888"/>
      <c r="I136" s="1888"/>
      <c r="J136" s="1888"/>
      <c r="K136" s="1888"/>
      <c r="L136" s="1888"/>
      <c r="M136" s="1888"/>
      <c r="N136" s="1888"/>
      <c r="O136" s="1888"/>
      <c r="P136" s="1888"/>
      <c r="Q136" s="1888"/>
      <c r="R136" s="1888"/>
      <c r="S136" s="1888"/>
      <c r="T136" s="1888"/>
      <c r="U136" s="1888"/>
      <c r="V136" s="1888"/>
      <c r="W136" s="1888"/>
      <c r="X136" s="1888"/>
    </row>
    <row r="137" spans="1:24" x14ac:dyDescent="0.2">
      <c r="A137" s="1888"/>
      <c r="B137" s="1888"/>
      <c r="C137" s="1888"/>
      <c r="D137" s="1888"/>
      <c r="E137" s="1888"/>
      <c r="F137" s="2133"/>
      <c r="G137" s="1888"/>
      <c r="H137" s="1888"/>
      <c r="I137" s="1888"/>
      <c r="J137" s="1888"/>
      <c r="K137" s="1888"/>
      <c r="L137" s="1888"/>
      <c r="M137" s="1888"/>
      <c r="N137" s="1888"/>
      <c r="O137" s="1888"/>
      <c r="P137" s="1888"/>
      <c r="Q137" s="1888"/>
      <c r="R137" s="1888"/>
      <c r="S137" s="1888"/>
      <c r="T137" s="1888"/>
      <c r="U137" s="1888"/>
      <c r="V137" s="1888"/>
      <c r="W137" s="1888"/>
      <c r="X137" s="1888"/>
    </row>
    <row r="138" spans="1:24" x14ac:dyDescent="0.2">
      <c r="A138" s="1888"/>
      <c r="B138" s="1888"/>
      <c r="C138" s="1888"/>
      <c r="D138" s="1888"/>
      <c r="E138" s="1888"/>
      <c r="F138" s="2133"/>
      <c r="G138" s="1888"/>
      <c r="H138" s="1888"/>
      <c r="I138" s="1888"/>
      <c r="J138" s="1888"/>
      <c r="K138" s="1888"/>
      <c r="L138" s="1888"/>
      <c r="M138" s="1888"/>
      <c r="N138" s="1888"/>
      <c r="O138" s="1888"/>
      <c r="P138" s="1888"/>
      <c r="Q138" s="1888"/>
      <c r="R138" s="1888"/>
      <c r="S138" s="1888"/>
      <c r="T138" s="1888"/>
      <c r="U138" s="1888"/>
      <c r="V138" s="1888"/>
      <c r="W138" s="1888"/>
      <c r="X138" s="1888"/>
    </row>
    <row r="139" spans="1:24" x14ac:dyDescent="0.2">
      <c r="A139" s="1888"/>
      <c r="B139" s="1888"/>
      <c r="C139" s="1888"/>
      <c r="D139" s="1888"/>
      <c r="E139" s="1888"/>
      <c r="F139" s="2133"/>
      <c r="G139" s="1888"/>
      <c r="H139" s="1888"/>
      <c r="I139" s="1888"/>
      <c r="J139" s="1888"/>
      <c r="K139" s="1888"/>
      <c r="L139" s="1888"/>
      <c r="M139" s="1888"/>
      <c r="N139" s="1888"/>
      <c r="O139" s="1888"/>
      <c r="P139" s="1888"/>
      <c r="Q139" s="1888"/>
      <c r="R139" s="1888"/>
      <c r="S139" s="1888"/>
      <c r="T139" s="1888"/>
      <c r="U139" s="1888"/>
      <c r="V139" s="1888"/>
      <c r="W139" s="1888"/>
      <c r="X139" s="1888"/>
    </row>
    <row r="140" spans="1:24" x14ac:dyDescent="0.2">
      <c r="A140" s="1888"/>
      <c r="B140" s="1888"/>
      <c r="C140" s="1888"/>
      <c r="D140" s="1888"/>
      <c r="E140" s="1888"/>
      <c r="F140" s="2133"/>
      <c r="G140" s="1888"/>
      <c r="H140" s="1888"/>
      <c r="I140" s="1888"/>
      <c r="J140" s="1888"/>
      <c r="K140" s="1888"/>
      <c r="L140" s="1888"/>
      <c r="M140" s="1888"/>
      <c r="N140" s="1888"/>
      <c r="O140" s="1888"/>
      <c r="P140" s="1888"/>
      <c r="Q140" s="1888"/>
      <c r="R140" s="1888"/>
      <c r="S140" s="1888"/>
      <c r="T140" s="1888"/>
      <c r="U140" s="1888"/>
      <c r="V140" s="1888"/>
      <c r="W140" s="1888"/>
      <c r="X140" s="1888"/>
    </row>
    <row r="141" spans="1:24" x14ac:dyDescent="0.2">
      <c r="A141" s="1888"/>
      <c r="B141" s="1888"/>
      <c r="C141" s="1888"/>
      <c r="D141" s="1888"/>
      <c r="E141" s="1888"/>
      <c r="F141" s="2133"/>
      <c r="G141" s="1888"/>
      <c r="H141" s="1888"/>
      <c r="I141" s="1888"/>
      <c r="J141" s="1888"/>
      <c r="K141" s="1888"/>
      <c r="L141" s="1888"/>
      <c r="M141" s="1888"/>
      <c r="N141" s="1888"/>
      <c r="O141" s="1888"/>
      <c r="P141" s="1888"/>
      <c r="Q141" s="1888"/>
      <c r="R141" s="1888"/>
      <c r="S141" s="1888"/>
      <c r="T141" s="1888"/>
      <c r="U141" s="1888"/>
      <c r="V141" s="1888"/>
      <c r="W141" s="1888"/>
      <c r="X141" s="1888"/>
    </row>
    <row r="142" spans="1:24" x14ac:dyDescent="0.2">
      <c r="A142" s="1888"/>
      <c r="B142" s="1888"/>
      <c r="C142" s="1888"/>
      <c r="D142" s="1888"/>
      <c r="E142" s="1888"/>
      <c r="F142" s="2133"/>
      <c r="G142" s="1888"/>
      <c r="H142" s="1888"/>
      <c r="I142" s="1888"/>
      <c r="J142" s="1888"/>
      <c r="K142" s="1888"/>
      <c r="L142" s="1888"/>
      <c r="M142" s="1888"/>
      <c r="N142" s="1888"/>
      <c r="O142" s="1888"/>
      <c r="P142" s="1888"/>
      <c r="Q142" s="1888"/>
      <c r="R142" s="1888"/>
      <c r="S142" s="1888"/>
      <c r="T142" s="1888"/>
      <c r="U142" s="1888"/>
      <c r="V142" s="1888"/>
      <c r="W142" s="1888"/>
      <c r="X142" s="1888"/>
    </row>
    <row r="143" spans="1:24" x14ac:dyDescent="0.2">
      <c r="A143" s="1888"/>
      <c r="B143" s="1888"/>
      <c r="C143" s="1888"/>
      <c r="D143" s="1888"/>
      <c r="E143" s="1888"/>
      <c r="F143" s="2133"/>
      <c r="G143" s="1888"/>
      <c r="H143" s="1888"/>
      <c r="I143" s="1888"/>
      <c r="J143" s="1888"/>
      <c r="K143" s="1888"/>
      <c r="L143" s="1888"/>
      <c r="M143" s="1888"/>
      <c r="N143" s="1888"/>
      <c r="O143" s="1888"/>
      <c r="P143" s="1888"/>
      <c r="Q143" s="1888"/>
      <c r="R143" s="1888"/>
      <c r="S143" s="1888"/>
      <c r="T143" s="1888"/>
      <c r="U143" s="1888"/>
      <c r="V143" s="1888"/>
      <c r="W143" s="1888"/>
      <c r="X143" s="1888"/>
    </row>
    <row r="144" spans="1:24" x14ac:dyDescent="0.2">
      <c r="A144" s="1888"/>
      <c r="B144" s="1888"/>
      <c r="C144" s="1888"/>
      <c r="D144" s="1888"/>
      <c r="E144" s="1888"/>
      <c r="F144" s="2133"/>
      <c r="G144" s="1888"/>
      <c r="H144" s="1888"/>
      <c r="I144" s="1888"/>
      <c r="J144" s="1888"/>
      <c r="K144" s="1888"/>
      <c r="L144" s="1888"/>
      <c r="M144" s="1888"/>
      <c r="N144" s="1888"/>
      <c r="O144" s="1888"/>
      <c r="P144" s="1888"/>
      <c r="Q144" s="1888"/>
      <c r="R144" s="1888"/>
      <c r="S144" s="1888"/>
      <c r="T144" s="1888"/>
      <c r="U144" s="1888"/>
      <c r="V144" s="1888"/>
      <c r="W144" s="1888"/>
      <c r="X144" s="1888"/>
    </row>
    <row r="145" spans="1:24" x14ac:dyDescent="0.2">
      <c r="A145" s="1888"/>
      <c r="B145" s="1888"/>
      <c r="C145" s="1888"/>
      <c r="D145" s="1888"/>
      <c r="E145" s="1888"/>
      <c r="F145" s="2133"/>
      <c r="G145" s="1888"/>
      <c r="H145" s="1888"/>
      <c r="I145" s="1888"/>
      <c r="J145" s="1888"/>
      <c r="K145" s="1888"/>
      <c r="L145" s="1888"/>
      <c r="M145" s="1888"/>
      <c r="N145" s="1888"/>
      <c r="O145" s="1888"/>
      <c r="P145" s="1888"/>
      <c r="Q145" s="1888"/>
      <c r="R145" s="1888"/>
      <c r="S145" s="1888"/>
      <c r="T145" s="1888"/>
      <c r="U145" s="1888"/>
      <c r="V145" s="1888"/>
      <c r="W145" s="1888"/>
      <c r="X145" s="1888"/>
    </row>
    <row r="146" spans="1:24" x14ac:dyDescent="0.2">
      <c r="A146" s="1888"/>
      <c r="B146" s="1888"/>
      <c r="C146" s="1888"/>
      <c r="D146" s="1888"/>
      <c r="E146" s="1888"/>
      <c r="F146" s="2133"/>
      <c r="G146" s="1888"/>
      <c r="H146" s="1888"/>
      <c r="I146" s="1888"/>
      <c r="J146" s="1888"/>
      <c r="K146" s="1888"/>
      <c r="L146" s="1888"/>
      <c r="M146" s="1888"/>
      <c r="N146" s="1888"/>
      <c r="O146" s="1888"/>
      <c r="P146" s="1888"/>
      <c r="Q146" s="1888"/>
      <c r="R146" s="1888"/>
      <c r="S146" s="1888"/>
      <c r="T146" s="1888"/>
      <c r="U146" s="1888"/>
      <c r="V146" s="1888"/>
      <c r="W146" s="1888"/>
      <c r="X146" s="1888"/>
    </row>
    <row r="147" spans="1:24" x14ac:dyDescent="0.2">
      <c r="A147" s="1888"/>
      <c r="B147" s="1888"/>
      <c r="C147" s="1888"/>
      <c r="D147" s="1888"/>
      <c r="E147" s="1888"/>
      <c r="F147" s="2133"/>
      <c r="G147" s="1888"/>
      <c r="H147" s="1888"/>
      <c r="I147" s="1888"/>
      <c r="J147" s="1888"/>
      <c r="K147" s="1888"/>
      <c r="L147" s="1888"/>
      <c r="M147" s="1888"/>
      <c r="N147" s="1888"/>
      <c r="O147" s="1888"/>
      <c r="P147" s="1888"/>
      <c r="Q147" s="1888"/>
      <c r="R147" s="1888"/>
      <c r="S147" s="1888"/>
      <c r="T147" s="1888"/>
      <c r="U147" s="1888"/>
      <c r="V147" s="1888"/>
      <c r="W147" s="1888"/>
      <c r="X147" s="1888"/>
    </row>
    <row r="148" spans="1:24" x14ac:dyDescent="0.2">
      <c r="A148" s="1888"/>
      <c r="B148" s="1888"/>
      <c r="C148" s="1888"/>
      <c r="D148" s="1888"/>
      <c r="E148" s="1888"/>
      <c r="F148" s="2133"/>
      <c r="G148" s="1888"/>
      <c r="H148" s="1888"/>
      <c r="I148" s="1888"/>
      <c r="J148" s="1888"/>
      <c r="K148" s="1888"/>
      <c r="L148" s="1888"/>
      <c r="M148" s="1888"/>
      <c r="N148" s="1888"/>
      <c r="O148" s="1888"/>
      <c r="P148" s="1888"/>
      <c r="Q148" s="1888"/>
      <c r="R148" s="1888"/>
      <c r="S148" s="1888"/>
      <c r="T148" s="1888"/>
      <c r="U148" s="1888"/>
      <c r="V148" s="1888"/>
      <c r="W148" s="1888"/>
      <c r="X148" s="1888"/>
    </row>
    <row r="149" spans="1:24" x14ac:dyDescent="0.2">
      <c r="A149" s="1888"/>
      <c r="B149" s="1888"/>
      <c r="C149" s="1888"/>
      <c r="D149" s="1888"/>
      <c r="E149" s="1888"/>
      <c r="F149" s="2133"/>
      <c r="G149" s="1888"/>
      <c r="H149" s="1888"/>
      <c r="I149" s="1888"/>
      <c r="J149" s="1888"/>
      <c r="K149" s="1888"/>
      <c r="L149" s="1888"/>
      <c r="M149" s="1888"/>
      <c r="N149" s="1888"/>
      <c r="O149" s="1888"/>
      <c r="P149" s="1888"/>
      <c r="Q149" s="1888"/>
      <c r="R149" s="1888"/>
      <c r="S149" s="1888"/>
      <c r="T149" s="1888"/>
      <c r="U149" s="1888"/>
      <c r="V149" s="1888"/>
      <c r="W149" s="1888"/>
      <c r="X149" s="1888"/>
    </row>
    <row r="150" spans="1:24" x14ac:dyDescent="0.2">
      <c r="A150" s="1888"/>
      <c r="B150" s="1888"/>
      <c r="C150" s="1888"/>
      <c r="D150" s="1888"/>
      <c r="E150" s="1888"/>
      <c r="F150" s="2133"/>
      <c r="G150" s="1888"/>
      <c r="H150" s="1888"/>
      <c r="I150" s="1888"/>
      <c r="J150" s="1888"/>
      <c r="K150" s="1888"/>
      <c r="L150" s="1888"/>
      <c r="M150" s="1888"/>
      <c r="N150" s="1888"/>
      <c r="O150" s="1888"/>
      <c r="P150" s="1888"/>
      <c r="Q150" s="1888"/>
      <c r="R150" s="1888"/>
      <c r="S150" s="1888"/>
      <c r="T150" s="1888"/>
      <c r="U150" s="1888"/>
      <c r="V150" s="1888"/>
      <c r="W150" s="1888"/>
      <c r="X150" s="1888"/>
    </row>
    <row r="151" spans="1:24" x14ac:dyDescent="0.2">
      <c r="A151" s="1888"/>
      <c r="B151" s="1888"/>
      <c r="C151" s="1888"/>
      <c r="D151" s="1888"/>
      <c r="E151" s="1888"/>
      <c r="F151" s="2133"/>
      <c r="G151" s="1888"/>
      <c r="H151" s="1888"/>
      <c r="I151" s="1888"/>
      <c r="J151" s="1888"/>
      <c r="K151" s="1888"/>
      <c r="L151" s="1888"/>
      <c r="M151" s="1888"/>
      <c r="N151" s="1888"/>
      <c r="O151" s="1888"/>
      <c r="P151" s="1888"/>
      <c r="Q151" s="1888"/>
      <c r="R151" s="1888"/>
      <c r="S151" s="1888"/>
      <c r="T151" s="1888"/>
      <c r="U151" s="1888"/>
      <c r="V151" s="1888"/>
      <c r="W151" s="1888"/>
      <c r="X151" s="1888"/>
    </row>
    <row r="152" spans="1:24" x14ac:dyDescent="0.2">
      <c r="A152" s="1888"/>
      <c r="B152" s="1888"/>
      <c r="C152" s="1888"/>
      <c r="D152" s="1888"/>
      <c r="E152" s="1888"/>
      <c r="F152" s="2133"/>
      <c r="G152" s="1888"/>
      <c r="H152" s="1888"/>
      <c r="I152" s="1888"/>
      <c r="J152" s="1888"/>
      <c r="K152" s="1888"/>
      <c r="L152" s="1888"/>
      <c r="M152" s="1888"/>
      <c r="N152" s="1888"/>
      <c r="O152" s="1888"/>
      <c r="P152" s="1888"/>
      <c r="Q152" s="1888"/>
      <c r="R152" s="1888"/>
      <c r="S152" s="1888"/>
      <c r="T152" s="1888"/>
      <c r="U152" s="1888"/>
      <c r="V152" s="1888"/>
      <c r="W152" s="1888"/>
      <c r="X152" s="1888"/>
    </row>
    <row r="153" spans="1:24" x14ac:dyDescent="0.2">
      <c r="A153" s="1888"/>
      <c r="B153" s="1888"/>
      <c r="C153" s="1888"/>
      <c r="D153" s="1888"/>
      <c r="E153" s="1888"/>
      <c r="F153" s="2133"/>
      <c r="G153" s="1888"/>
      <c r="H153" s="1888"/>
      <c r="I153" s="1888"/>
      <c r="J153" s="1888"/>
      <c r="K153" s="1888"/>
      <c r="L153" s="1888"/>
      <c r="M153" s="1888"/>
      <c r="N153" s="1888"/>
      <c r="O153" s="1888"/>
      <c r="P153" s="1888"/>
      <c r="Q153" s="1888"/>
      <c r="R153" s="1888"/>
      <c r="S153" s="1888"/>
      <c r="T153" s="1888"/>
      <c r="U153" s="1888"/>
      <c r="V153" s="1888"/>
      <c r="W153" s="1888"/>
      <c r="X153" s="1888"/>
    </row>
    <row r="154" spans="1:24" x14ac:dyDescent="0.2">
      <c r="A154" s="1888"/>
      <c r="B154" s="1888"/>
      <c r="C154" s="1888"/>
      <c r="D154" s="1888"/>
      <c r="E154" s="1888"/>
      <c r="F154" s="2133"/>
      <c r="G154" s="1888"/>
      <c r="H154" s="1888"/>
      <c r="I154" s="1888"/>
      <c r="J154" s="1888"/>
      <c r="K154" s="1888"/>
      <c r="L154" s="1888"/>
      <c r="M154" s="1888"/>
      <c r="N154" s="1888"/>
      <c r="O154" s="1888"/>
      <c r="P154" s="1888"/>
      <c r="Q154" s="1888"/>
      <c r="R154" s="1888"/>
      <c r="S154" s="1888"/>
      <c r="T154" s="1888"/>
      <c r="U154" s="1888"/>
      <c r="V154" s="1888"/>
      <c r="W154" s="1888"/>
      <c r="X154" s="1888"/>
    </row>
    <row r="155" spans="1:24" x14ac:dyDescent="0.2">
      <c r="A155" s="1888"/>
      <c r="B155" s="1888"/>
      <c r="C155" s="1888"/>
      <c r="D155" s="1888"/>
      <c r="E155" s="1888"/>
      <c r="F155" s="2133"/>
      <c r="G155" s="1888"/>
      <c r="H155" s="1888"/>
      <c r="I155" s="1888"/>
      <c r="J155" s="1888"/>
      <c r="K155" s="1888"/>
      <c r="L155" s="1888"/>
      <c r="M155" s="1888"/>
      <c r="N155" s="1888"/>
      <c r="O155" s="1888"/>
      <c r="P155" s="1888"/>
      <c r="Q155" s="1888"/>
      <c r="R155" s="1888"/>
      <c r="S155" s="1888"/>
      <c r="T155" s="1888"/>
      <c r="U155" s="1888"/>
      <c r="V155" s="1888"/>
      <c r="W155" s="1888"/>
      <c r="X155" s="1888"/>
    </row>
    <row r="156" spans="1:24" x14ac:dyDescent="0.2">
      <c r="A156" s="1888"/>
      <c r="B156" s="1888"/>
      <c r="C156" s="1888"/>
      <c r="D156" s="1888"/>
      <c r="E156" s="1888"/>
      <c r="F156" s="2133"/>
      <c r="G156" s="1888"/>
      <c r="H156" s="1888"/>
      <c r="I156" s="1888"/>
      <c r="J156" s="1888"/>
      <c r="K156" s="1888"/>
      <c r="L156" s="1888"/>
      <c r="M156" s="1888"/>
      <c r="N156" s="1888"/>
      <c r="O156" s="1888"/>
      <c r="P156" s="1888"/>
      <c r="Q156" s="1888"/>
      <c r="R156" s="1888"/>
      <c r="S156" s="1888"/>
      <c r="T156" s="1888"/>
      <c r="U156" s="1888"/>
      <c r="V156" s="1888"/>
      <c r="W156" s="1888"/>
      <c r="X156" s="1888"/>
    </row>
    <row r="157" spans="1:24" x14ac:dyDescent="0.2">
      <c r="A157" s="1888"/>
      <c r="B157" s="1888"/>
      <c r="C157" s="1888"/>
      <c r="D157" s="1888"/>
      <c r="E157" s="1888"/>
      <c r="F157" s="2133"/>
      <c r="G157" s="1888"/>
      <c r="H157" s="1888"/>
      <c r="I157" s="1888"/>
      <c r="J157" s="1888"/>
      <c r="K157" s="1888"/>
      <c r="L157" s="1888"/>
      <c r="M157" s="1888"/>
      <c r="N157" s="1888"/>
      <c r="O157" s="1888"/>
      <c r="P157" s="1888"/>
      <c r="Q157" s="1888"/>
      <c r="R157" s="1888"/>
      <c r="S157" s="1888"/>
      <c r="T157" s="1888"/>
      <c r="U157" s="1888"/>
      <c r="V157" s="1888"/>
      <c r="W157" s="1888"/>
      <c r="X157" s="1888"/>
    </row>
    <row r="158" spans="1:24" x14ac:dyDescent="0.2">
      <c r="A158" s="1888"/>
      <c r="B158" s="1888"/>
      <c r="C158" s="1888"/>
      <c r="D158" s="1888"/>
      <c r="E158" s="1888"/>
      <c r="F158" s="2133"/>
      <c r="G158" s="1888"/>
      <c r="H158" s="1888"/>
      <c r="I158" s="1888"/>
      <c r="J158" s="1888"/>
      <c r="K158" s="1888"/>
      <c r="L158" s="1888"/>
      <c r="M158" s="1888"/>
      <c r="N158" s="1888"/>
      <c r="O158" s="1888"/>
      <c r="P158" s="1888"/>
      <c r="Q158" s="1888"/>
      <c r="R158" s="1888"/>
      <c r="S158" s="1888"/>
      <c r="T158" s="1888"/>
      <c r="U158" s="1888"/>
      <c r="V158" s="1888"/>
      <c r="W158" s="1888"/>
      <c r="X158" s="1888"/>
    </row>
    <row r="159" spans="1:24" x14ac:dyDescent="0.2">
      <c r="A159" s="1888"/>
      <c r="B159" s="1888"/>
      <c r="C159" s="1888"/>
      <c r="D159" s="1888"/>
      <c r="E159" s="1888"/>
      <c r="F159" s="2133"/>
      <c r="G159" s="1888"/>
      <c r="H159" s="1888"/>
      <c r="I159" s="1888"/>
      <c r="J159" s="1888"/>
      <c r="K159" s="1888"/>
      <c r="L159" s="1888"/>
      <c r="M159" s="1888"/>
      <c r="N159" s="1888"/>
      <c r="O159" s="1888"/>
      <c r="P159" s="1888"/>
      <c r="Q159" s="1888"/>
      <c r="R159" s="1888"/>
      <c r="S159" s="1888"/>
      <c r="T159" s="1888"/>
      <c r="U159" s="1888"/>
      <c r="V159" s="1888"/>
      <c r="W159" s="1888"/>
      <c r="X159" s="1888"/>
    </row>
    <row r="160" spans="1:24" x14ac:dyDescent="0.2">
      <c r="A160" s="1888"/>
      <c r="B160" s="1888"/>
      <c r="C160" s="1888"/>
      <c r="D160" s="1888"/>
      <c r="E160" s="1888"/>
      <c r="F160" s="2133"/>
      <c r="G160" s="1888"/>
      <c r="H160" s="1888"/>
      <c r="I160" s="1888"/>
      <c r="J160" s="1888"/>
      <c r="K160" s="1888"/>
      <c r="L160" s="1888"/>
      <c r="M160" s="1888"/>
      <c r="N160" s="1888"/>
      <c r="O160" s="1888"/>
      <c r="P160" s="1888"/>
      <c r="Q160" s="1888"/>
      <c r="R160" s="1888"/>
      <c r="S160" s="1888"/>
      <c r="T160" s="1888"/>
      <c r="U160" s="1888"/>
      <c r="V160" s="1888"/>
      <c r="W160" s="1888"/>
      <c r="X160" s="1888"/>
    </row>
    <row r="161" spans="1:24" x14ac:dyDescent="0.2">
      <c r="A161" s="1888"/>
      <c r="B161" s="1888"/>
      <c r="C161" s="1888"/>
      <c r="D161" s="1888"/>
      <c r="E161" s="1888"/>
      <c r="F161" s="2133"/>
      <c r="G161" s="1888"/>
      <c r="H161" s="1888"/>
      <c r="I161" s="1888"/>
      <c r="J161" s="1888"/>
      <c r="K161" s="1888"/>
      <c r="L161" s="1888"/>
      <c r="M161" s="1888"/>
      <c r="N161" s="1888"/>
      <c r="O161" s="1888"/>
      <c r="P161" s="1888"/>
      <c r="Q161" s="1888"/>
      <c r="R161" s="1888"/>
      <c r="S161" s="1888"/>
      <c r="T161" s="1888"/>
      <c r="U161" s="1888"/>
      <c r="V161" s="1888"/>
      <c r="W161" s="1888"/>
      <c r="X161" s="1888"/>
    </row>
    <row r="162" spans="1:24" x14ac:dyDescent="0.2">
      <c r="A162" s="1888"/>
      <c r="B162" s="1888"/>
      <c r="C162" s="1888"/>
      <c r="D162" s="1888"/>
      <c r="E162" s="1888"/>
      <c r="F162" s="2133"/>
      <c r="G162" s="1888"/>
      <c r="H162" s="1888"/>
      <c r="I162" s="1888"/>
      <c r="J162" s="1888"/>
      <c r="K162" s="1888"/>
      <c r="L162" s="1888"/>
      <c r="M162" s="1888"/>
      <c r="N162" s="1888"/>
      <c r="O162" s="1888"/>
      <c r="P162" s="1888"/>
      <c r="Q162" s="1888"/>
      <c r="R162" s="1888"/>
      <c r="S162" s="1888"/>
      <c r="T162" s="1888"/>
      <c r="U162" s="1888"/>
      <c r="V162" s="1888"/>
      <c r="W162" s="1888"/>
      <c r="X162" s="1888"/>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E2493-8597-42F2-9A73-C8BF64FC46CF}">
  <dimension ref="A1:DA120"/>
  <sheetViews>
    <sheetView zoomScale="90" zoomScaleNormal="9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5.85546875" style="1844" customWidth="1"/>
    <col min="4" max="4" width="15.140625" style="1844" customWidth="1"/>
    <col min="5" max="5" width="16.140625" style="1844" customWidth="1"/>
    <col min="6" max="6" width="11.42578125" style="1844" customWidth="1"/>
    <col min="7" max="7" width="11.42578125" style="1844"/>
    <col min="8" max="8" width="11.42578125" style="1844" customWidth="1"/>
    <col min="9" max="9" width="17" style="1844" customWidth="1"/>
    <col min="10" max="10" width="11.42578125" style="1844"/>
    <col min="11" max="11" width="38.42578125" style="1844" customWidth="1"/>
    <col min="12" max="12" width="20.42578125" style="1844" customWidth="1"/>
    <col min="13" max="13" width="11" style="1844" customWidth="1"/>
    <col min="14" max="14" width="11.85546875" style="1844" customWidth="1"/>
    <col min="15" max="16" width="11.42578125" style="1844"/>
    <col min="17" max="17" width="17.42578125" style="1844" customWidth="1"/>
    <col min="18" max="18" width="11.42578125" style="1844"/>
    <col min="19" max="19" width="27" style="1844" customWidth="1"/>
    <col min="20" max="16384" width="11.42578125" style="1844"/>
  </cols>
  <sheetData>
    <row r="1" spans="1:20" s="2227" customFormat="1" ht="26.1" customHeight="1" x14ac:dyDescent="0.25">
      <c r="A1" s="1910" t="s">
        <v>1236</v>
      </c>
      <c r="B1" s="1938"/>
      <c r="C1" s="1938"/>
      <c r="D1" s="1938"/>
      <c r="E1" s="1938"/>
      <c r="F1" s="2028"/>
      <c r="G1" s="2028"/>
      <c r="H1" s="2028"/>
      <c r="I1" s="2028"/>
      <c r="J1" s="2028"/>
      <c r="K1" s="2028"/>
      <c r="L1" s="2028"/>
      <c r="M1" s="2028"/>
      <c r="N1" s="2028"/>
      <c r="O1" s="2028"/>
      <c r="P1" s="2028"/>
      <c r="Q1" s="2028"/>
      <c r="R1" s="2028"/>
      <c r="S1" s="2028"/>
      <c r="T1" s="2226"/>
    </row>
    <row r="2" spans="1:20" ht="14.25" customHeight="1" x14ac:dyDescent="0.25">
      <c r="A2" s="2228"/>
      <c r="B2" s="2229"/>
      <c r="C2" s="2028"/>
      <c r="D2" s="2028"/>
      <c r="E2" s="2028"/>
      <c r="F2" s="1888"/>
      <c r="G2" s="1888"/>
      <c r="H2" s="1888"/>
      <c r="I2" s="1888"/>
      <c r="J2" s="1888"/>
      <c r="K2" s="1888"/>
      <c r="L2" s="1888"/>
      <c r="M2" s="1888"/>
      <c r="N2" s="1888"/>
      <c r="O2" s="1888"/>
      <c r="P2" s="1888"/>
      <c r="Q2" s="1888"/>
      <c r="R2" s="1888"/>
      <c r="S2" s="1888"/>
      <c r="T2" s="1888"/>
    </row>
    <row r="3" spans="1:20" ht="14.25" x14ac:dyDescent="0.25">
      <c r="A3" s="1888"/>
      <c r="B3" s="2230" t="s">
        <v>1237</v>
      </c>
      <c r="C3" s="2231">
        <f>+'CO2 - Cálculos'!AD58</f>
        <v>146000</v>
      </c>
      <c r="D3" s="2232"/>
      <c r="E3" s="2232"/>
      <c r="F3" s="1888"/>
      <c r="G3" s="1888"/>
      <c r="H3" s="1888"/>
      <c r="I3" s="1888"/>
      <c r="J3" s="1888"/>
      <c r="K3" s="1888"/>
      <c r="L3" s="1888"/>
      <c r="M3" s="1888"/>
      <c r="N3" s="1888"/>
      <c r="O3" s="1888"/>
      <c r="P3" s="1888"/>
      <c r="Q3" s="1888"/>
      <c r="R3" s="1888"/>
      <c r="S3" s="1888"/>
      <c r="T3" s="1888"/>
    </row>
    <row r="4" spans="1:20" ht="14.25" x14ac:dyDescent="0.25">
      <c r="A4" s="1888"/>
      <c r="B4" s="2233"/>
      <c r="C4" s="2234"/>
      <c r="D4" s="2235"/>
      <c r="E4" s="2235"/>
      <c r="F4" s="1888"/>
      <c r="G4" s="1888"/>
      <c r="H4" s="1888"/>
      <c r="I4" s="1888"/>
      <c r="J4" s="1888"/>
      <c r="K4" s="1888"/>
      <c r="L4" s="2236"/>
      <c r="M4" s="2236"/>
      <c r="N4" s="2236"/>
      <c r="O4" s="2236"/>
      <c r="P4" s="2236"/>
      <c r="Q4" s="2236"/>
      <c r="R4" s="2236"/>
      <c r="S4" s="1888"/>
      <c r="T4" s="1888"/>
    </row>
    <row r="5" spans="1:20" ht="14.25" x14ac:dyDescent="0.25">
      <c r="A5" s="1888"/>
      <c r="B5" s="2230" t="s">
        <v>1238</v>
      </c>
      <c r="C5" s="2231">
        <f>+'CO2 - Cálculos'!AD13</f>
        <v>4730.4000000000005</v>
      </c>
      <c r="D5" s="2232"/>
      <c r="E5" s="2232"/>
      <c r="F5" s="1888"/>
      <c r="G5" s="1888"/>
      <c r="H5" s="1888"/>
      <c r="I5" s="1888"/>
      <c r="J5" s="1888"/>
      <c r="K5" s="1888"/>
      <c r="L5" s="2236"/>
      <c r="M5" s="2236"/>
      <c r="N5" s="2236"/>
      <c r="O5" s="2967" t="s">
        <v>1239</v>
      </c>
      <c r="P5" s="2968"/>
      <c r="Q5" s="2236"/>
      <c r="R5" s="2236"/>
      <c r="S5" s="1888"/>
      <c r="T5" s="1888"/>
    </row>
    <row r="6" spans="1:20" ht="14.25" x14ac:dyDescent="0.25">
      <c r="A6" s="1888"/>
      <c r="B6" s="2237"/>
      <c r="C6" s="2238"/>
      <c r="D6" s="2232"/>
      <c r="E6" s="2232"/>
      <c r="F6" s="1888"/>
      <c r="G6" s="1888"/>
      <c r="H6" s="1888"/>
      <c r="I6" s="1888"/>
      <c r="J6" s="1888"/>
      <c r="K6" s="1888"/>
      <c r="L6" s="2236"/>
      <c r="M6" s="2236"/>
      <c r="N6" s="2236"/>
      <c r="O6" s="2969">
        <f>+C3</f>
        <v>146000</v>
      </c>
      <c r="P6" s="2970"/>
      <c r="Q6" s="2236"/>
      <c r="R6" s="2236"/>
      <c r="S6" s="1888"/>
      <c r="T6" s="1888"/>
    </row>
    <row r="7" spans="1:20" ht="14.25" x14ac:dyDescent="0.25">
      <c r="A7" s="1888"/>
      <c r="B7" s="2239" t="s">
        <v>1107</v>
      </c>
      <c r="C7" s="2240">
        <f>+'CO2 - Cálculos'!AD5</f>
        <v>0</v>
      </c>
      <c r="D7" s="2232"/>
      <c r="E7" s="2232"/>
      <c r="F7" s="1888"/>
      <c r="G7" s="1888"/>
      <c r="H7" s="1888"/>
      <c r="I7" s="1888"/>
      <c r="J7" s="1888"/>
      <c r="K7" s="1888"/>
      <c r="L7" s="2236"/>
      <c r="M7" s="2241"/>
      <c r="N7" s="2236"/>
      <c r="O7" s="2236"/>
      <c r="P7" s="2236"/>
      <c r="Q7" s="2236"/>
      <c r="R7" s="2236"/>
      <c r="S7" s="1888"/>
      <c r="T7" s="1888"/>
    </row>
    <row r="8" spans="1:20" ht="14.25" x14ac:dyDescent="0.25">
      <c r="A8" s="1888"/>
      <c r="B8" s="2239" t="s">
        <v>1108</v>
      </c>
      <c r="C8" s="2240">
        <f>+'CO2 - Cálculos'!AD6</f>
        <v>0</v>
      </c>
      <c r="D8" s="2232"/>
      <c r="E8" s="2232"/>
      <c r="F8" s="1888"/>
      <c r="G8" s="1888"/>
      <c r="H8" s="1888"/>
      <c r="I8" s="1888"/>
      <c r="J8" s="1888"/>
      <c r="K8" s="1888"/>
      <c r="L8" s="2236"/>
      <c r="M8" s="2236"/>
      <c r="N8" s="2236"/>
      <c r="O8" s="2236"/>
      <c r="P8" s="2236"/>
      <c r="Q8" s="2236"/>
      <c r="R8" s="2236"/>
      <c r="S8" s="1888"/>
      <c r="T8" s="1888"/>
    </row>
    <row r="9" spans="1:20" ht="14.25" x14ac:dyDescent="0.25">
      <c r="A9" s="1888"/>
      <c r="B9" s="2239" t="s">
        <v>1109</v>
      </c>
      <c r="C9" s="2240">
        <f>+'CO2 - Cálculos'!AD7</f>
        <v>1912.6000000000001</v>
      </c>
      <c r="D9" s="2232"/>
      <c r="E9" s="2232"/>
      <c r="F9" s="1888"/>
      <c r="G9" s="1888"/>
      <c r="H9" s="1888"/>
      <c r="I9" s="1888"/>
      <c r="J9" s="1888"/>
      <c r="K9" s="1888"/>
      <c r="L9" s="2236"/>
      <c r="M9" s="2242" t="s">
        <v>1047</v>
      </c>
      <c r="N9" s="2243">
        <f>+C5</f>
        <v>4730.4000000000005</v>
      </c>
      <c r="O9" s="2244">
        <f>+N9/O6</f>
        <v>3.2400000000000005E-2</v>
      </c>
      <c r="P9" s="2245">
        <f>+Q9/O6</f>
        <v>0.96760000000000002</v>
      </c>
      <c r="Q9" s="2246">
        <f>+C16</f>
        <v>141269.6</v>
      </c>
      <c r="R9" s="2247" t="s">
        <v>1240</v>
      </c>
      <c r="S9" s="1888"/>
      <c r="T9" s="1888"/>
    </row>
    <row r="10" spans="1:20" ht="14.25" x14ac:dyDescent="0.25">
      <c r="A10" s="1888"/>
      <c r="B10" s="2239" t="s">
        <v>1110</v>
      </c>
      <c r="C10" s="2240">
        <f>+'CO2 - Cálculos'!AD8</f>
        <v>1971</v>
      </c>
      <c r="D10" s="2232"/>
      <c r="E10" s="2232"/>
      <c r="F10" s="1888"/>
      <c r="G10" s="1888"/>
      <c r="H10" s="1888"/>
      <c r="I10" s="1888"/>
      <c r="J10" s="1888"/>
      <c r="K10" s="1888"/>
      <c r="L10" s="2236"/>
      <c r="M10" s="2248"/>
      <c r="N10" s="2249"/>
      <c r="O10" s="2250"/>
      <c r="P10" s="2236"/>
      <c r="Q10" s="2251"/>
      <c r="R10" s="2252"/>
      <c r="S10" s="1888"/>
      <c r="T10" s="1888"/>
    </row>
    <row r="11" spans="1:20" ht="14.25" x14ac:dyDescent="0.25">
      <c r="A11" s="1888"/>
      <c r="B11" s="2239" t="s">
        <v>50</v>
      </c>
      <c r="C11" s="2240">
        <f>+'CO2 - Cálculos'!AD9</f>
        <v>0</v>
      </c>
      <c r="D11" s="2232"/>
      <c r="E11" s="2232"/>
      <c r="F11" s="1888"/>
      <c r="G11" s="1888"/>
      <c r="H11" s="1888"/>
      <c r="I11" s="1888"/>
      <c r="J11" s="1888"/>
      <c r="K11" s="1888"/>
      <c r="L11" s="2236"/>
      <c r="M11" s="2242" t="str">
        <f t="shared" ref="M11:N18" si="0">+B7</f>
        <v>Resíduos de alimentos</v>
      </c>
      <c r="N11" s="2253">
        <f t="shared" si="0"/>
        <v>0</v>
      </c>
      <c r="O11" s="2254">
        <f t="shared" ref="O11:O18" si="1">+N11/$N$9</f>
        <v>0</v>
      </c>
      <c r="P11" s="2255">
        <f t="shared" ref="P11:P19" si="2">+Q11/$Q$9</f>
        <v>0</v>
      </c>
      <c r="Q11" s="2256">
        <f t="shared" ref="Q11:Q19" si="3">+C18</f>
        <v>0</v>
      </c>
      <c r="R11" s="2247" t="str">
        <f t="shared" ref="R11:R19" si="4">+B18</f>
        <v>Resíduos dispersos</v>
      </c>
      <c r="S11" s="1888"/>
      <c r="T11" s="1888"/>
    </row>
    <row r="12" spans="1:20" ht="14.25" x14ac:dyDescent="0.25">
      <c r="A12" s="1888"/>
      <c r="B12" s="2239" t="s">
        <v>1111</v>
      </c>
      <c r="C12" s="2240">
        <f>+'CO2 - Cálculos'!AD10</f>
        <v>671.6</v>
      </c>
      <c r="D12" s="2232"/>
      <c r="E12" s="2232"/>
      <c r="F12" s="1888"/>
      <c r="G12" s="1888"/>
      <c r="H12" s="1888"/>
      <c r="I12" s="1888"/>
      <c r="J12" s="1888"/>
      <c r="K12" s="1888"/>
      <c r="L12" s="2236"/>
      <c r="M12" s="2242" t="str">
        <f t="shared" si="0"/>
        <v>Resíduos de jardins e parques</v>
      </c>
      <c r="N12" s="2253">
        <f t="shared" si="0"/>
        <v>0</v>
      </c>
      <c r="O12" s="2254">
        <f t="shared" si="1"/>
        <v>0</v>
      </c>
      <c r="P12" s="2255">
        <f t="shared" si="2"/>
        <v>0</v>
      </c>
      <c r="Q12" s="2256">
        <f t="shared" si="3"/>
        <v>0</v>
      </c>
      <c r="R12" s="2247" t="str">
        <f t="shared" si="4"/>
        <v>Queima a céu aberto</v>
      </c>
      <c r="S12" s="1888"/>
      <c r="T12" s="1888"/>
    </row>
    <row r="13" spans="1:20" ht="14.25" x14ac:dyDescent="0.25">
      <c r="A13" s="1888"/>
      <c r="B13" s="2239" t="s">
        <v>1112</v>
      </c>
      <c r="C13" s="2240">
        <f>+'CO2 - Cálculos'!AD11</f>
        <v>175.20000000000002</v>
      </c>
      <c r="D13" s="2232"/>
      <c r="E13" s="2232"/>
      <c r="F13" s="1888"/>
      <c r="G13" s="1888"/>
      <c r="H13" s="1888"/>
      <c r="I13" s="1888"/>
      <c r="J13" s="1888"/>
      <c r="K13" s="1888"/>
      <c r="L13" s="2236"/>
      <c r="M13" s="2242" t="str">
        <f t="shared" si="0"/>
        <v>Papel, papelão</v>
      </c>
      <c r="N13" s="2253">
        <f t="shared" si="0"/>
        <v>1912.6000000000001</v>
      </c>
      <c r="O13" s="2254">
        <f t="shared" si="1"/>
        <v>0.40432098765432095</v>
      </c>
      <c r="P13" s="2255">
        <f t="shared" si="2"/>
        <v>0</v>
      </c>
      <c r="Q13" s="2256">
        <f t="shared" si="3"/>
        <v>0</v>
      </c>
      <c r="R13" s="2247" t="str">
        <f t="shared" si="4"/>
        <v>Lixão não controlado</v>
      </c>
      <c r="S13" s="1888"/>
      <c r="T13" s="1888"/>
    </row>
    <row r="14" spans="1:20" ht="14.25" x14ac:dyDescent="0.25">
      <c r="A14" s="1888"/>
      <c r="B14" s="2239" t="s">
        <v>1113</v>
      </c>
      <c r="C14" s="2240">
        <f>+'CO2 - Cálculos'!AD12</f>
        <v>0</v>
      </c>
      <c r="D14" s="2232"/>
      <c r="E14" s="2232"/>
      <c r="F14" s="1888"/>
      <c r="G14" s="1888"/>
      <c r="H14" s="1888"/>
      <c r="I14" s="1888"/>
      <c r="J14" s="1888"/>
      <c r="K14" s="1888"/>
      <c r="L14" s="2236"/>
      <c r="M14" s="2242" t="str">
        <f t="shared" si="0"/>
        <v>Plásticos</v>
      </c>
      <c r="N14" s="2253">
        <f t="shared" si="0"/>
        <v>1971</v>
      </c>
      <c r="O14" s="2254">
        <f t="shared" si="1"/>
        <v>0.41666666666666663</v>
      </c>
      <c r="P14" s="2255">
        <f t="shared" si="2"/>
        <v>0</v>
      </c>
      <c r="Q14" s="2256">
        <f t="shared" si="3"/>
        <v>0</v>
      </c>
      <c r="R14" s="2247" t="str">
        <f t="shared" si="4"/>
        <v>Aterro controlado</v>
      </c>
      <c r="S14" s="1888"/>
      <c r="T14" s="1888"/>
    </row>
    <row r="15" spans="1:20" ht="14.25" x14ac:dyDescent="0.25">
      <c r="A15" s="1888"/>
      <c r="B15" s="2257"/>
      <c r="C15" s="2238"/>
      <c r="D15" s="2232"/>
      <c r="E15" s="2232"/>
      <c r="F15" s="1888"/>
      <c r="G15" s="1888"/>
      <c r="H15" s="1888"/>
      <c r="I15" s="1888"/>
      <c r="J15" s="1888"/>
      <c r="K15" s="1888"/>
      <c r="L15" s="2236"/>
      <c r="M15" s="2242" t="str">
        <f t="shared" si="0"/>
        <v>Vidros</v>
      </c>
      <c r="N15" s="2253">
        <f t="shared" si="0"/>
        <v>0</v>
      </c>
      <c r="O15" s="2254">
        <f t="shared" si="1"/>
        <v>0</v>
      </c>
      <c r="P15" s="2255">
        <f t="shared" si="2"/>
        <v>1</v>
      </c>
      <c r="Q15" s="2256">
        <f t="shared" si="3"/>
        <v>141269.6</v>
      </c>
      <c r="R15" s="2247" t="str">
        <f t="shared" si="4"/>
        <v>Aterro sanitário</v>
      </c>
      <c r="S15" s="1888"/>
      <c r="T15" s="1888"/>
    </row>
    <row r="16" spans="1:20" ht="14.25" x14ac:dyDescent="0.25">
      <c r="A16" s="1888"/>
      <c r="B16" s="2258" t="s">
        <v>1241</v>
      </c>
      <c r="C16" s="2231">
        <f>+'CO2 - Cálculos'!AD57</f>
        <v>141269.6</v>
      </c>
      <c r="D16" s="2232"/>
      <c r="E16" s="2232"/>
      <c r="F16" s="1888"/>
      <c r="G16" s="1888"/>
      <c r="H16" s="1888"/>
      <c r="I16" s="1888"/>
      <c r="J16" s="1888"/>
      <c r="K16" s="1888"/>
      <c r="L16" s="2236"/>
      <c r="M16" s="2242" t="str">
        <f t="shared" si="0"/>
        <v>Metais ferrosos</v>
      </c>
      <c r="N16" s="2253">
        <f t="shared" si="0"/>
        <v>671.6</v>
      </c>
      <c r="O16" s="2254">
        <f t="shared" si="1"/>
        <v>0.1419753086419753</v>
      </c>
      <c r="P16" s="2255">
        <f t="shared" si="2"/>
        <v>0</v>
      </c>
      <c r="Q16" s="2256">
        <f t="shared" si="3"/>
        <v>0</v>
      </c>
      <c r="R16" s="2247" t="str">
        <f t="shared" si="4"/>
        <v>Trat. biol + cobertura at.</v>
      </c>
      <c r="S16" s="1888"/>
      <c r="T16" s="1888"/>
    </row>
    <row r="17" spans="1:52" ht="14.25" x14ac:dyDescent="0.25">
      <c r="A17" s="1888"/>
      <c r="B17" s="2237"/>
      <c r="C17" s="2238"/>
      <c r="D17" s="2232"/>
      <c r="E17" s="2232"/>
      <c r="F17" s="1888"/>
      <c r="G17" s="1888"/>
      <c r="H17" s="1888"/>
      <c r="I17" s="1888"/>
      <c r="J17" s="1888"/>
      <c r="K17" s="1888"/>
      <c r="L17" s="2236"/>
      <c r="M17" s="2242" t="str">
        <f t="shared" si="0"/>
        <v>Alumínio</v>
      </c>
      <c r="N17" s="2253">
        <f t="shared" si="0"/>
        <v>175.20000000000002</v>
      </c>
      <c r="O17" s="2254">
        <f t="shared" si="1"/>
        <v>3.7037037037037035E-2</v>
      </c>
      <c r="P17" s="2255">
        <f t="shared" si="2"/>
        <v>0</v>
      </c>
      <c r="Q17" s="2256">
        <f t="shared" si="3"/>
        <v>0</v>
      </c>
      <c r="R17" s="2247" t="str">
        <f t="shared" si="4"/>
        <v>CDR seco + rejeito aterro</v>
      </c>
      <c r="S17" s="1888"/>
      <c r="T17" s="1888"/>
    </row>
    <row r="18" spans="1:52" ht="14.25" x14ac:dyDescent="0.25">
      <c r="A18" s="1888"/>
      <c r="B18" s="2239" t="s">
        <v>1242</v>
      </c>
      <c r="C18" s="2240">
        <f>+'CO2 - Cálculos'!AD47</f>
        <v>0</v>
      </c>
      <c r="D18" s="2232"/>
      <c r="E18" s="2232"/>
      <c r="F18" s="1888"/>
      <c r="G18" s="1888"/>
      <c r="H18" s="1888"/>
      <c r="I18" s="1888"/>
      <c r="J18" s="1888"/>
      <c r="K18" s="1888"/>
      <c r="L18" s="2236"/>
      <c r="M18" s="2242" t="str">
        <f t="shared" si="0"/>
        <v>Têxteis</v>
      </c>
      <c r="N18" s="2253">
        <f t="shared" si="0"/>
        <v>0</v>
      </c>
      <c r="O18" s="2254">
        <f t="shared" si="1"/>
        <v>0</v>
      </c>
      <c r="P18" s="2255">
        <f t="shared" si="2"/>
        <v>0</v>
      </c>
      <c r="Q18" s="2256">
        <f t="shared" si="3"/>
        <v>0</v>
      </c>
      <c r="R18" s="2247" t="str">
        <f t="shared" si="4"/>
        <v>CDR seco + trat. biol.</v>
      </c>
      <c r="S18" s="1888"/>
      <c r="T18" s="1888"/>
    </row>
    <row r="19" spans="1:52" ht="14.25" x14ac:dyDescent="0.25">
      <c r="A19" s="1888"/>
      <c r="B19" s="2239" t="s">
        <v>1243</v>
      </c>
      <c r="C19" s="2240">
        <f>+'CO2 - Cálculos'!AD48</f>
        <v>0</v>
      </c>
      <c r="D19" s="2232"/>
      <c r="E19" s="2232"/>
      <c r="F19" s="1888"/>
      <c r="G19" s="1888"/>
      <c r="H19" s="1888"/>
      <c r="I19" s="1888"/>
      <c r="J19" s="1888"/>
      <c r="K19" s="1888"/>
      <c r="L19" s="2236"/>
      <c r="M19" s="2236"/>
      <c r="N19" s="2236"/>
      <c r="O19" s="2259"/>
      <c r="P19" s="2255">
        <f t="shared" si="2"/>
        <v>0</v>
      </c>
      <c r="Q19" s="2256">
        <f t="shared" si="3"/>
        <v>0</v>
      </c>
      <c r="R19" s="2247" t="str">
        <f t="shared" si="4"/>
        <v>CDR seco + CDR org.</v>
      </c>
      <c r="S19" s="1888"/>
      <c r="T19" s="1888"/>
    </row>
    <row r="20" spans="1:52" ht="14.25" x14ac:dyDescent="0.25">
      <c r="A20" s="1888"/>
      <c r="B20" s="2239" t="s">
        <v>1244</v>
      </c>
      <c r="C20" s="2240">
        <f>+'CO2 - Cálculos'!AD49</f>
        <v>0</v>
      </c>
      <c r="D20" s="2232"/>
      <c r="E20" s="2232"/>
      <c r="F20" s="1888"/>
      <c r="G20" s="1888"/>
      <c r="H20" s="1888"/>
      <c r="I20" s="1888"/>
      <c r="J20" s="1888"/>
      <c r="K20" s="1888"/>
      <c r="L20" s="2236"/>
      <c r="M20" s="2236"/>
      <c r="N20" s="2236"/>
      <c r="O20" s="2236"/>
      <c r="P20" s="2255">
        <f>+Q20/$Q$9</f>
        <v>0</v>
      </c>
      <c r="Q20" s="2256">
        <f>+C27</f>
        <v>0</v>
      </c>
      <c r="R20" s="2247" t="str">
        <f>+B27</f>
        <v>Incineração</v>
      </c>
      <c r="S20" s="1888"/>
      <c r="T20" s="1888"/>
    </row>
    <row r="21" spans="1:52" ht="14.25" x14ac:dyDescent="0.25">
      <c r="A21" s="1888"/>
      <c r="B21" s="2239" t="s">
        <v>1245</v>
      </c>
      <c r="C21" s="2240">
        <f>+'CO2 - Cálculos'!AD50</f>
        <v>0</v>
      </c>
      <c r="D21" s="2232"/>
      <c r="E21" s="2232"/>
      <c r="F21" s="1888"/>
      <c r="G21" s="1888"/>
      <c r="H21" s="1888"/>
      <c r="I21" s="1888"/>
      <c r="J21" s="1888"/>
      <c r="K21" s="1888"/>
      <c r="L21" s="1888"/>
      <c r="M21" s="1888"/>
      <c r="N21" s="1888"/>
      <c r="O21" s="1888"/>
      <c r="P21" s="1888"/>
      <c r="Q21" s="1888"/>
      <c r="R21" s="2260"/>
      <c r="S21" s="1888"/>
      <c r="T21" s="1888"/>
    </row>
    <row r="22" spans="1:52" ht="14.25" x14ac:dyDescent="0.25">
      <c r="A22" s="1888"/>
      <c r="B22" s="2261" t="s">
        <v>64</v>
      </c>
      <c r="C22" s="2240">
        <f>+'CO2 - Cálculos'!AD51</f>
        <v>141269.6</v>
      </c>
      <c r="D22" s="2232"/>
      <c r="E22" s="2232"/>
      <c r="F22" s="1888"/>
      <c r="G22" s="1888"/>
      <c r="H22" s="1888"/>
      <c r="I22" s="1888"/>
      <c r="J22" s="1888"/>
      <c r="K22" s="1888"/>
      <c r="L22" s="1888"/>
      <c r="M22" s="1888"/>
      <c r="N22" s="1888"/>
      <c r="O22" s="1888"/>
      <c r="P22" s="1888"/>
      <c r="Q22" s="1888"/>
      <c r="R22" s="1888"/>
      <c r="S22" s="1888"/>
      <c r="T22" s="1888"/>
    </row>
    <row r="23" spans="1:52" ht="14.25" x14ac:dyDescent="0.25">
      <c r="A23" s="1888"/>
      <c r="B23" s="2262" t="s">
        <v>1246</v>
      </c>
      <c r="C23" s="2263">
        <f>+'CO2 - Cálculos'!AD52</f>
        <v>0</v>
      </c>
      <c r="D23" s="2232"/>
      <c r="E23" s="2232"/>
      <c r="F23" s="1888"/>
      <c r="G23" s="1888"/>
      <c r="H23" s="1888"/>
      <c r="I23" s="1888"/>
      <c r="J23" s="1888"/>
      <c r="K23" s="1888"/>
      <c r="L23" s="1888"/>
      <c r="M23" s="1888"/>
      <c r="N23" s="1888"/>
      <c r="O23" s="1888"/>
      <c r="P23" s="1888"/>
      <c r="Q23" s="1888"/>
      <c r="R23" s="1888"/>
      <c r="S23" s="1888"/>
      <c r="T23" s="1888"/>
    </row>
    <row r="24" spans="1:52" ht="14.25" x14ac:dyDescent="0.25">
      <c r="A24" s="1888"/>
      <c r="B24" s="2262" t="s">
        <v>1247</v>
      </c>
      <c r="C24" s="2240">
        <f>+'CO2 - Cálculos'!AD53</f>
        <v>0</v>
      </c>
      <c r="D24" s="2232"/>
      <c r="E24" s="2232"/>
      <c r="F24" s="1888"/>
      <c r="G24" s="1888"/>
      <c r="H24" s="1888"/>
      <c r="I24" s="1888"/>
      <c r="J24" s="1888"/>
      <c r="K24" s="1888"/>
      <c r="L24" s="1888"/>
      <c r="M24" s="1888"/>
      <c r="N24" s="1888"/>
      <c r="O24" s="1888"/>
      <c r="P24" s="1888"/>
      <c r="Q24" s="1888"/>
      <c r="R24" s="1888"/>
      <c r="S24" s="1888"/>
      <c r="T24" s="1888"/>
    </row>
    <row r="25" spans="1:52" ht="14.25" x14ac:dyDescent="0.25">
      <c r="A25" s="1888"/>
      <c r="B25" s="2262" t="s">
        <v>1248</v>
      </c>
      <c r="C25" s="2240">
        <f>+'CO2 - Cálculos'!AD54</f>
        <v>0</v>
      </c>
      <c r="D25" s="2232"/>
      <c r="E25" s="2232"/>
      <c r="F25" s="1888"/>
      <c r="G25" s="1888"/>
      <c r="H25" s="1888"/>
      <c r="I25" s="1888"/>
      <c r="J25" s="1888"/>
      <c r="K25" s="1888"/>
      <c r="L25" s="1888"/>
      <c r="M25" s="1888"/>
      <c r="N25" s="1888"/>
      <c r="O25" s="1888"/>
      <c r="P25" s="1888"/>
      <c r="Q25" s="1888"/>
      <c r="R25" s="1888"/>
      <c r="S25" s="1888"/>
      <c r="T25" s="1888"/>
    </row>
    <row r="26" spans="1:52" ht="14.25" x14ac:dyDescent="0.25">
      <c r="A26" s="1888"/>
      <c r="B26" s="2262" t="s">
        <v>1249</v>
      </c>
      <c r="C26" s="2240">
        <f>+'CO2 - Cálculos'!AD55</f>
        <v>0</v>
      </c>
      <c r="D26" s="2232"/>
      <c r="E26" s="2232"/>
      <c r="F26" s="1888"/>
      <c r="G26" s="1888"/>
      <c r="H26" s="1888"/>
      <c r="I26" s="1888"/>
      <c r="J26" s="1888"/>
      <c r="K26" s="1888"/>
      <c r="L26" s="1888"/>
      <c r="M26" s="1888"/>
      <c r="N26" s="1888"/>
      <c r="O26" s="1888"/>
      <c r="P26" s="1888"/>
      <c r="Q26" s="1888"/>
      <c r="R26" s="1888"/>
      <c r="S26" s="1888"/>
      <c r="T26" s="1888"/>
    </row>
    <row r="27" spans="1:52" ht="14.25" x14ac:dyDescent="0.25">
      <c r="A27" s="1888"/>
      <c r="B27" s="2239" t="s">
        <v>63</v>
      </c>
      <c r="C27" s="2240">
        <f>+'CO2 - Cálculos'!AD56</f>
        <v>0</v>
      </c>
      <c r="D27" s="2232"/>
      <c r="E27" s="2232"/>
      <c r="F27" s="1888"/>
      <c r="G27" s="1888"/>
      <c r="H27" s="1888"/>
      <c r="I27" s="1888"/>
      <c r="J27" s="1888"/>
      <c r="K27" s="1888"/>
      <c r="L27" s="1888"/>
      <c r="M27" s="1888"/>
      <c r="N27" s="1888"/>
      <c r="O27" s="1888"/>
      <c r="P27" s="1888"/>
      <c r="Q27" s="1888"/>
      <c r="R27" s="1888"/>
      <c r="S27" s="1888"/>
      <c r="T27" s="1888"/>
    </row>
    <row r="28" spans="1:52"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52" s="2227" customFormat="1" ht="26.1" customHeight="1" x14ac:dyDescent="0.2">
      <c r="A29" s="2061" t="s">
        <v>1250</v>
      </c>
      <c r="B29" s="2264"/>
      <c r="C29" s="1983"/>
      <c r="D29" s="1983"/>
      <c r="E29" s="1983"/>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c r="AV29" s="1843"/>
      <c r="AW29" s="1843"/>
      <c r="AX29" s="1843"/>
      <c r="AY29" s="1843"/>
      <c r="AZ29" s="1843"/>
    </row>
    <row r="30" spans="1:52"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52" ht="15.75" x14ac:dyDescent="0.25">
      <c r="A31" s="1888"/>
      <c r="B31" s="2266"/>
      <c r="C31" s="2267" t="s">
        <v>1251</v>
      </c>
      <c r="D31" s="2268" t="s">
        <v>1252</v>
      </c>
      <c r="E31" s="2268" t="s">
        <v>1253</v>
      </c>
      <c r="F31" s="1888"/>
      <c r="G31" s="1888"/>
      <c r="H31" s="2269"/>
      <c r="I31" s="1888"/>
      <c r="J31" s="1888"/>
      <c r="K31" s="1888"/>
      <c r="L31" s="1888"/>
      <c r="M31" s="1888"/>
      <c r="N31" s="1888"/>
      <c r="O31" s="1888"/>
      <c r="P31" s="1888"/>
      <c r="Q31" s="1888"/>
      <c r="R31" s="1888"/>
      <c r="S31" s="1888"/>
      <c r="T31" s="1888"/>
    </row>
    <row r="32" spans="1:52" ht="14.25" x14ac:dyDescent="0.25">
      <c r="A32" s="1888"/>
      <c r="B32" s="2270" t="s">
        <v>1238</v>
      </c>
      <c r="C32" s="2271"/>
      <c r="D32" s="2233"/>
      <c r="E32" s="2233"/>
      <c r="F32" s="1888"/>
      <c r="G32" s="1888"/>
      <c r="H32" s="1888"/>
      <c r="I32" s="1888"/>
      <c r="J32" s="1888"/>
      <c r="K32" s="1888"/>
      <c r="L32" s="1888"/>
      <c r="M32" s="1888"/>
      <c r="N32" s="1888"/>
      <c r="O32" s="1888"/>
      <c r="P32" s="1888"/>
      <c r="Q32" s="1888"/>
      <c r="R32" s="1888"/>
      <c r="S32" s="1888"/>
      <c r="T32" s="1888"/>
    </row>
    <row r="33" spans="1:20" ht="14.25" x14ac:dyDescent="0.25">
      <c r="A33" s="1888"/>
      <c r="B33" s="2272"/>
      <c r="C33" s="2273"/>
      <c r="D33" s="2273"/>
      <c r="E33" s="2273"/>
      <c r="F33" s="1888"/>
      <c r="G33" s="1888"/>
      <c r="H33" s="1888"/>
      <c r="I33" s="1888"/>
      <c r="J33" s="1888"/>
      <c r="K33" s="1888"/>
      <c r="L33" s="1888"/>
      <c r="M33" s="1888"/>
      <c r="N33" s="1888"/>
      <c r="O33" s="1888"/>
      <c r="P33" s="1888"/>
      <c r="Q33" s="1888"/>
      <c r="R33" s="1888"/>
      <c r="S33" s="1888"/>
      <c r="T33" s="1888"/>
    </row>
    <row r="34" spans="1:20" ht="14.25" x14ac:dyDescent="0.25">
      <c r="A34" s="1888"/>
      <c r="B34" s="2224" t="str">
        <f>B7</f>
        <v>Resíduos de alimentos</v>
      </c>
      <c r="C34" s="2240">
        <f>+C62</f>
        <v>0</v>
      </c>
      <c r="D34" s="2240">
        <f>+C71</f>
        <v>0</v>
      </c>
      <c r="E34" s="2240">
        <f t="shared" ref="E34:E41" si="5">+D34+C34</f>
        <v>0</v>
      </c>
      <c r="F34" s="1888"/>
      <c r="G34" s="1888"/>
      <c r="H34" s="1888"/>
      <c r="I34" s="1888"/>
      <c r="J34" s="1888"/>
      <c r="K34" s="1888"/>
      <c r="L34" s="1888"/>
      <c r="M34" s="1888"/>
      <c r="N34" s="1888"/>
      <c r="O34" s="1888"/>
      <c r="P34" s="1888"/>
      <c r="Q34" s="1888"/>
      <c r="R34" s="1888"/>
      <c r="S34" s="1888"/>
      <c r="T34" s="1888"/>
    </row>
    <row r="35" spans="1:20" ht="14.25" x14ac:dyDescent="0.25">
      <c r="A35" s="1888"/>
      <c r="B35" s="2224" t="str">
        <f t="shared" ref="B35:B41" si="6">B8</f>
        <v>Resíduos de jardins e parques</v>
      </c>
      <c r="C35" s="2240">
        <f t="shared" ref="C35:C41" si="7">+C63</f>
        <v>0</v>
      </c>
      <c r="D35" s="2240">
        <f t="shared" ref="D35:D41" si="8">+C72</f>
        <v>0</v>
      </c>
      <c r="E35" s="2240">
        <f t="shared" si="5"/>
        <v>0</v>
      </c>
      <c r="F35" s="1888"/>
      <c r="G35" s="1888"/>
      <c r="H35" s="1888"/>
      <c r="I35" s="1888"/>
      <c r="J35" s="1888"/>
      <c r="K35" s="1888"/>
      <c r="L35" s="1888"/>
      <c r="M35" s="1888"/>
      <c r="N35" s="1888"/>
      <c r="O35" s="1888"/>
      <c r="P35" s="1888"/>
      <c r="Q35" s="1888"/>
      <c r="R35" s="1888"/>
      <c r="S35" s="1888"/>
      <c r="T35" s="1888"/>
    </row>
    <row r="36" spans="1:20" ht="14.25" x14ac:dyDescent="0.25">
      <c r="A36" s="1888"/>
      <c r="B36" s="2224" t="str">
        <f t="shared" si="6"/>
        <v>Papel, papelão</v>
      </c>
      <c r="C36" s="2240">
        <f t="shared" si="7"/>
        <v>2402.2256000000002</v>
      </c>
      <c r="D36" s="2240">
        <f t="shared" si="8"/>
        <v>-2960.7048000000004</v>
      </c>
      <c r="E36" s="2240">
        <f t="shared" si="5"/>
        <v>-558.47920000000022</v>
      </c>
      <c r="F36" s="1888"/>
      <c r="G36" s="1888"/>
      <c r="H36" s="1888"/>
      <c r="I36" s="1888"/>
      <c r="J36" s="1888"/>
      <c r="K36" s="1888"/>
      <c r="L36" s="1888"/>
      <c r="M36" s="1888"/>
      <c r="N36" s="1888"/>
      <c r="O36" s="1888"/>
      <c r="P36" s="1888"/>
      <c r="Q36" s="1888"/>
      <c r="R36" s="1888"/>
      <c r="S36" s="1888"/>
      <c r="T36" s="1888"/>
    </row>
    <row r="37" spans="1:20" ht="14.25" x14ac:dyDescent="0.25">
      <c r="A37" s="1888"/>
      <c r="B37" s="2224" t="str">
        <f t="shared" si="6"/>
        <v>Plásticos</v>
      </c>
      <c r="C37" s="2240">
        <f t="shared" si="7"/>
        <v>808.11</v>
      </c>
      <c r="D37" s="2240">
        <f t="shared" si="8"/>
        <v>-3764.2157999999999</v>
      </c>
      <c r="E37" s="2240">
        <f t="shared" si="5"/>
        <v>-2956.1057999999998</v>
      </c>
      <c r="F37" s="1888"/>
      <c r="G37" s="1888"/>
      <c r="H37" s="1888"/>
      <c r="I37" s="1888"/>
      <c r="J37" s="1888"/>
      <c r="K37" s="1888"/>
      <c r="L37" s="1888"/>
      <c r="M37" s="1888"/>
      <c r="N37" s="1888"/>
      <c r="O37" s="1888"/>
      <c r="P37" s="1888"/>
      <c r="Q37" s="1888"/>
      <c r="R37" s="1888"/>
      <c r="S37" s="1888"/>
      <c r="T37" s="1888"/>
    </row>
    <row r="38" spans="1:20" ht="14.25" x14ac:dyDescent="0.25">
      <c r="A38" s="1888"/>
      <c r="B38" s="2224" t="str">
        <f t="shared" si="6"/>
        <v>Vidros</v>
      </c>
      <c r="C38" s="2240">
        <f t="shared" si="7"/>
        <v>0</v>
      </c>
      <c r="D38" s="2240">
        <f t="shared" si="8"/>
        <v>0</v>
      </c>
      <c r="E38" s="2240">
        <f t="shared" si="5"/>
        <v>0</v>
      </c>
      <c r="F38" s="1888"/>
      <c r="G38" s="1888"/>
      <c r="H38" s="1888"/>
      <c r="I38" s="1888"/>
      <c r="J38" s="1888"/>
      <c r="K38" s="1888"/>
      <c r="L38" s="1888"/>
      <c r="M38" s="1888"/>
      <c r="N38" s="1888"/>
      <c r="O38" s="1888"/>
      <c r="P38" s="1888"/>
      <c r="Q38" s="1888"/>
      <c r="R38" s="1888"/>
      <c r="S38" s="1888"/>
      <c r="T38" s="1888"/>
    </row>
    <row r="39" spans="1:20" ht="14.25" x14ac:dyDescent="0.25">
      <c r="A39" s="1888"/>
      <c r="B39" s="2224" t="str">
        <f t="shared" si="6"/>
        <v>Metais ferrosos</v>
      </c>
      <c r="C39" s="2240">
        <f t="shared" si="7"/>
        <v>42.982399999999998</v>
      </c>
      <c r="D39" s="2240">
        <f t="shared" si="8"/>
        <v>-1149.7791999999999</v>
      </c>
      <c r="E39" s="2240">
        <f t="shared" si="5"/>
        <v>-1106.7967999999998</v>
      </c>
      <c r="F39" s="1888"/>
      <c r="G39" s="1888"/>
      <c r="H39" s="1888"/>
      <c r="I39" s="1888"/>
      <c r="J39" s="1888"/>
      <c r="K39" s="1888"/>
      <c r="L39" s="1888"/>
      <c r="M39" s="1888"/>
      <c r="N39" s="1888"/>
      <c r="O39" s="1888"/>
      <c r="P39" s="1888"/>
      <c r="Q39" s="1888"/>
      <c r="R39" s="1888"/>
      <c r="S39" s="1888"/>
      <c r="T39" s="1888"/>
    </row>
    <row r="40" spans="1:20" ht="14.25" x14ac:dyDescent="0.25">
      <c r="A40" s="1888"/>
      <c r="B40" s="2224" t="str">
        <f t="shared" si="6"/>
        <v>Alumínio</v>
      </c>
      <c r="C40" s="2240">
        <f t="shared" si="7"/>
        <v>122.1144</v>
      </c>
      <c r="D40" s="2240">
        <f t="shared" si="8"/>
        <v>-1730.9760000000003</v>
      </c>
      <c r="E40" s="2240">
        <f t="shared" si="5"/>
        <v>-1608.8616000000004</v>
      </c>
      <c r="F40" s="1888"/>
      <c r="G40" s="1888"/>
      <c r="H40" s="1888"/>
      <c r="I40" s="1888"/>
      <c r="J40" s="1888"/>
      <c r="K40" s="1888"/>
      <c r="L40" s="1888"/>
      <c r="M40" s="1888"/>
      <c r="N40" s="1888"/>
      <c r="O40" s="1888"/>
      <c r="P40" s="1888"/>
      <c r="Q40" s="1888"/>
      <c r="R40" s="1888"/>
      <c r="S40" s="1888"/>
      <c r="T40" s="1888"/>
    </row>
    <row r="41" spans="1:20" ht="14.25" x14ac:dyDescent="0.25">
      <c r="A41" s="1888"/>
      <c r="B41" s="2224" t="str">
        <f t="shared" si="6"/>
        <v>Têxteis</v>
      </c>
      <c r="C41" s="2240">
        <f t="shared" si="7"/>
        <v>0</v>
      </c>
      <c r="D41" s="2240">
        <f t="shared" si="8"/>
        <v>0</v>
      </c>
      <c r="E41" s="2240">
        <f t="shared" si="5"/>
        <v>0</v>
      </c>
      <c r="F41" s="1888"/>
      <c r="G41" s="1888"/>
      <c r="H41" s="1888"/>
      <c r="I41" s="1888"/>
      <c r="J41" s="1888"/>
      <c r="K41" s="1888"/>
      <c r="L41" s="1888"/>
      <c r="M41" s="1888"/>
      <c r="N41" s="1888"/>
      <c r="O41" s="1888"/>
      <c r="P41" s="1888"/>
      <c r="Q41" s="1888"/>
      <c r="R41" s="1888"/>
      <c r="S41" s="1888"/>
      <c r="T41" s="1888"/>
    </row>
    <row r="42" spans="1:20" ht="14.25" x14ac:dyDescent="0.25">
      <c r="A42" s="1888"/>
      <c r="B42" s="2274"/>
      <c r="C42" s="2275"/>
      <c r="D42" s="2275"/>
      <c r="E42" s="2275"/>
      <c r="F42" s="1888"/>
      <c r="G42" s="1888"/>
      <c r="H42" s="1888"/>
      <c r="I42" s="1888"/>
      <c r="J42" s="1888"/>
      <c r="K42" s="1888"/>
      <c r="L42" s="1888"/>
      <c r="M42" s="1888"/>
      <c r="N42" s="1888"/>
      <c r="O42" s="1888"/>
      <c r="P42" s="1888"/>
      <c r="Q42" s="1888"/>
      <c r="R42" s="1888"/>
      <c r="S42" s="1888"/>
      <c r="T42" s="1888"/>
    </row>
    <row r="43" spans="1:20" ht="14.25" x14ac:dyDescent="0.25">
      <c r="A43" s="1888"/>
      <c r="B43" s="2276" t="s">
        <v>1241</v>
      </c>
      <c r="C43" s="2277"/>
      <c r="D43" s="2278"/>
      <c r="E43" s="2278"/>
      <c r="F43" s="1888"/>
      <c r="G43" s="1888"/>
      <c r="H43" s="1888"/>
      <c r="I43" s="1888"/>
      <c r="J43" s="1888"/>
      <c r="K43" s="1888"/>
      <c r="L43" s="1888"/>
      <c r="M43" s="1888"/>
      <c r="N43" s="1888"/>
      <c r="O43" s="1888"/>
      <c r="P43" s="1888"/>
      <c r="Q43" s="1888"/>
      <c r="R43" s="1888"/>
      <c r="S43" s="1888"/>
      <c r="T43" s="1888"/>
    </row>
    <row r="44" spans="1:20" ht="14.25" x14ac:dyDescent="0.25">
      <c r="A44" s="1888"/>
      <c r="B44" s="2272"/>
      <c r="C44" s="2238"/>
      <c r="D44" s="2238"/>
      <c r="E44" s="2238"/>
      <c r="F44" s="1888"/>
      <c r="G44" s="1888"/>
      <c r="H44" s="1888"/>
      <c r="I44" s="1888"/>
      <c r="J44" s="1888"/>
      <c r="K44" s="1888"/>
      <c r="L44" s="1888"/>
      <c r="M44" s="1888"/>
      <c r="N44" s="1888"/>
      <c r="O44" s="1888"/>
      <c r="P44" s="1888"/>
      <c r="Q44" s="1888"/>
      <c r="R44" s="1888"/>
      <c r="S44" s="1888"/>
      <c r="T44" s="1888"/>
    </row>
    <row r="45" spans="1:20" ht="14.25" x14ac:dyDescent="0.25">
      <c r="A45" s="1888"/>
      <c r="B45" s="2224" t="str">
        <f>B18</f>
        <v>Resíduos dispersos</v>
      </c>
      <c r="C45" s="2240">
        <f>+L62</f>
        <v>0</v>
      </c>
      <c r="D45" s="2240">
        <f t="shared" ref="D45:D54" si="9">+L73</f>
        <v>0</v>
      </c>
      <c r="E45" s="2240">
        <f t="shared" ref="E45:E53" si="10">+D45+C45</f>
        <v>0</v>
      </c>
      <c r="F45" s="1888"/>
      <c r="G45" s="1888"/>
      <c r="H45" s="1888"/>
      <c r="I45" s="1888"/>
      <c r="J45" s="1888"/>
      <c r="K45" s="1888"/>
      <c r="L45" s="1888"/>
      <c r="M45" s="1888"/>
      <c r="N45" s="1888"/>
      <c r="O45" s="1888"/>
      <c r="P45" s="1888"/>
      <c r="Q45" s="1888"/>
      <c r="R45" s="1888"/>
      <c r="S45" s="1888"/>
      <c r="T45" s="1888"/>
    </row>
    <row r="46" spans="1:20" ht="14.25" x14ac:dyDescent="0.25">
      <c r="A46" s="1888"/>
      <c r="B46" s="2224" t="str">
        <f t="shared" ref="B46:B54" si="11">B19</f>
        <v>Queima a céu aberto</v>
      </c>
      <c r="C46" s="2240">
        <f t="shared" ref="C46:C53" si="12">+L63</f>
        <v>0</v>
      </c>
      <c r="D46" s="2240">
        <f t="shared" si="9"/>
        <v>0</v>
      </c>
      <c r="E46" s="2240">
        <f t="shared" si="10"/>
        <v>0</v>
      </c>
      <c r="F46" s="1888"/>
      <c r="G46" s="1888"/>
      <c r="H46" s="1888"/>
      <c r="I46" s="1888"/>
      <c r="J46" s="1888"/>
      <c r="K46" s="1888"/>
      <c r="L46" s="1888"/>
      <c r="M46" s="1888"/>
      <c r="N46" s="1888"/>
      <c r="O46" s="1888"/>
      <c r="P46" s="1888"/>
      <c r="Q46" s="1888"/>
      <c r="R46" s="1888"/>
      <c r="S46" s="1888"/>
      <c r="T46" s="1888"/>
    </row>
    <row r="47" spans="1:20" ht="14.25" x14ac:dyDescent="0.25">
      <c r="A47" s="1888"/>
      <c r="B47" s="2224" t="str">
        <f t="shared" si="11"/>
        <v>Lixão não controlado</v>
      </c>
      <c r="C47" s="2240">
        <f t="shared" si="12"/>
        <v>0</v>
      </c>
      <c r="D47" s="2240">
        <f t="shared" si="9"/>
        <v>0</v>
      </c>
      <c r="E47" s="2240">
        <f t="shared" si="10"/>
        <v>0</v>
      </c>
      <c r="F47" s="1888"/>
      <c r="G47" s="1888"/>
      <c r="H47" s="1888"/>
      <c r="I47" s="1888"/>
      <c r="J47" s="1888"/>
      <c r="K47" s="1888"/>
      <c r="L47" s="1888"/>
      <c r="M47" s="1888"/>
      <c r="N47" s="1888"/>
      <c r="O47" s="1888"/>
      <c r="P47" s="1888"/>
      <c r="Q47" s="1888"/>
      <c r="R47" s="1888"/>
      <c r="S47" s="1888"/>
      <c r="T47" s="1888"/>
    </row>
    <row r="48" spans="1:20" ht="14.25" x14ac:dyDescent="0.25">
      <c r="A48" s="1888"/>
      <c r="B48" s="2224" t="str">
        <f t="shared" si="11"/>
        <v>Aterro controlado</v>
      </c>
      <c r="C48" s="2240">
        <f t="shared" si="12"/>
        <v>0</v>
      </c>
      <c r="D48" s="2240">
        <f t="shared" si="9"/>
        <v>0</v>
      </c>
      <c r="E48" s="2240">
        <f t="shared" si="10"/>
        <v>0</v>
      </c>
      <c r="F48" s="1888"/>
      <c r="G48" s="1888"/>
      <c r="H48" s="1888"/>
      <c r="I48" s="1888"/>
      <c r="J48" s="1888"/>
      <c r="K48" s="1888"/>
      <c r="L48" s="1888"/>
      <c r="M48" s="1888"/>
      <c r="N48" s="1888"/>
      <c r="O48" s="1888"/>
      <c r="P48" s="1888"/>
      <c r="Q48" s="1888"/>
      <c r="R48" s="1888"/>
      <c r="S48" s="1888"/>
      <c r="T48" s="1888"/>
    </row>
    <row r="49" spans="1:105" ht="14.25" x14ac:dyDescent="0.25">
      <c r="A49" s="1888"/>
      <c r="B49" s="2224" t="str">
        <f t="shared" si="11"/>
        <v>Aterro sanitário</v>
      </c>
      <c r="C49" s="2240">
        <f t="shared" si="12"/>
        <v>167352.43851908133</v>
      </c>
      <c r="D49" s="2240">
        <f t="shared" si="9"/>
        <v>0</v>
      </c>
      <c r="E49" s="2240">
        <f t="shared" si="10"/>
        <v>167352.43851908133</v>
      </c>
      <c r="F49" s="1888"/>
      <c r="G49" s="1888"/>
      <c r="H49" s="1888"/>
      <c r="I49" s="1888"/>
      <c r="J49" s="1888"/>
      <c r="K49" s="1888"/>
      <c r="L49" s="1888"/>
      <c r="M49" s="1888"/>
      <c r="N49" s="1888"/>
      <c r="O49" s="1888"/>
      <c r="P49" s="1888"/>
      <c r="Q49" s="1888"/>
      <c r="R49" s="1888"/>
      <c r="S49" s="1888"/>
      <c r="T49" s="1888"/>
    </row>
    <row r="50" spans="1:105" ht="14.25" x14ac:dyDescent="0.25">
      <c r="A50" s="1888"/>
      <c r="B50" s="2224" t="str">
        <f t="shared" si="11"/>
        <v>Trat. biol + cobertura at.</v>
      </c>
      <c r="C50" s="2240">
        <f t="shared" si="12"/>
        <v>0</v>
      </c>
      <c r="D50" s="2240">
        <f t="shared" si="9"/>
        <v>0</v>
      </c>
      <c r="E50" s="2240">
        <f t="shared" si="10"/>
        <v>0</v>
      </c>
      <c r="F50" s="1888"/>
      <c r="G50" s="1888"/>
      <c r="H50" s="1888"/>
      <c r="I50" s="1888"/>
      <c r="J50" s="1888"/>
      <c r="K50" s="1888"/>
      <c r="L50" s="1888"/>
      <c r="M50" s="1888"/>
      <c r="N50" s="1888"/>
      <c r="O50" s="1888"/>
      <c r="P50" s="1888"/>
      <c r="Q50" s="1888"/>
      <c r="R50" s="1888"/>
      <c r="S50" s="1888"/>
      <c r="T50" s="1888"/>
    </row>
    <row r="51" spans="1:105" ht="14.25" x14ac:dyDescent="0.25">
      <c r="A51" s="1888"/>
      <c r="B51" s="2224" t="str">
        <f t="shared" si="11"/>
        <v>CDR seco + rejeito aterro</v>
      </c>
      <c r="C51" s="2240">
        <f t="shared" si="12"/>
        <v>0</v>
      </c>
      <c r="D51" s="2240">
        <f t="shared" si="9"/>
        <v>0</v>
      </c>
      <c r="E51" s="2240">
        <f t="shared" si="10"/>
        <v>0</v>
      </c>
      <c r="F51" s="1888"/>
      <c r="G51" s="2279"/>
      <c r="H51" s="2280"/>
      <c r="I51" s="2280"/>
      <c r="J51" s="2280"/>
      <c r="K51" s="1888"/>
      <c r="L51" s="1888"/>
      <c r="M51" s="1888"/>
      <c r="N51" s="1888"/>
      <c r="O51" s="1888"/>
      <c r="P51" s="1888"/>
      <c r="Q51" s="1888"/>
      <c r="R51" s="1888"/>
      <c r="S51" s="1888"/>
      <c r="T51" s="1888"/>
    </row>
    <row r="52" spans="1:105" ht="14.25" x14ac:dyDescent="0.25">
      <c r="A52" s="1888"/>
      <c r="B52" s="2224" t="str">
        <f t="shared" si="11"/>
        <v>CDR seco + trat. biol.</v>
      </c>
      <c r="C52" s="2240">
        <f t="shared" si="12"/>
        <v>0</v>
      </c>
      <c r="D52" s="2240">
        <f t="shared" si="9"/>
        <v>0</v>
      </c>
      <c r="E52" s="2240">
        <f t="shared" si="10"/>
        <v>0</v>
      </c>
      <c r="F52" s="1888"/>
      <c r="G52" s="2281"/>
      <c r="H52" s="2282" t="s">
        <v>1254</v>
      </c>
      <c r="I52" s="2283" t="s">
        <v>1241</v>
      </c>
      <c r="J52" s="2283" t="s">
        <v>1255</v>
      </c>
      <c r="K52" s="1888"/>
      <c r="L52" s="1888"/>
      <c r="M52" s="1888"/>
      <c r="N52" s="1888"/>
      <c r="O52" s="1888"/>
      <c r="P52" s="1888"/>
      <c r="Q52" s="1888"/>
      <c r="R52" s="1888"/>
      <c r="S52" s="1888"/>
      <c r="T52" s="1888"/>
    </row>
    <row r="53" spans="1:105" ht="14.25" x14ac:dyDescent="0.25">
      <c r="A53" s="1888"/>
      <c r="B53" s="2224" t="str">
        <f t="shared" si="11"/>
        <v>CDR seco + CDR org.</v>
      </c>
      <c r="C53" s="2240">
        <f t="shared" si="12"/>
        <v>0</v>
      </c>
      <c r="D53" s="2240">
        <f t="shared" si="9"/>
        <v>0</v>
      </c>
      <c r="E53" s="2240">
        <f t="shared" si="10"/>
        <v>0</v>
      </c>
      <c r="F53" s="1888"/>
      <c r="G53" s="1965" t="s">
        <v>1256</v>
      </c>
      <c r="H53" s="2284">
        <f>SUM(C34:C41)</f>
        <v>3375.4324000000001</v>
      </c>
      <c r="I53" s="2284">
        <f>SUM(C45:C54)</f>
        <v>167352.43851908133</v>
      </c>
      <c r="J53" s="2284">
        <f>+I53+H53</f>
        <v>170727.87091908132</v>
      </c>
      <c r="K53" s="1888"/>
      <c r="L53" s="1888"/>
      <c r="M53" s="1888"/>
      <c r="N53" s="1888"/>
      <c r="O53" s="1888"/>
      <c r="P53" s="1888"/>
      <c r="Q53" s="1888"/>
      <c r="R53" s="1888"/>
      <c r="S53" s="1888"/>
      <c r="T53" s="1888"/>
    </row>
    <row r="54" spans="1:105" ht="14.25" x14ac:dyDescent="0.25">
      <c r="A54" s="1888"/>
      <c r="B54" s="2224" t="str">
        <f t="shared" si="11"/>
        <v>Incineração</v>
      </c>
      <c r="C54" s="2240">
        <f>+L71</f>
        <v>0</v>
      </c>
      <c r="D54" s="2240">
        <f t="shared" si="9"/>
        <v>0</v>
      </c>
      <c r="E54" s="2240">
        <f>+D54+C54</f>
        <v>0</v>
      </c>
      <c r="F54" s="1888"/>
      <c r="G54" s="1965" t="s">
        <v>1257</v>
      </c>
      <c r="H54" s="2284">
        <f>SUM(D34:D41)</f>
        <v>-9605.6758000000009</v>
      </c>
      <c r="I54" s="2284">
        <f>SUM(D45:D54)</f>
        <v>0</v>
      </c>
      <c r="J54" s="2284">
        <f>+I54+H54</f>
        <v>-9605.6758000000009</v>
      </c>
      <c r="K54" s="1888"/>
      <c r="L54" s="1888"/>
      <c r="M54" s="1888"/>
      <c r="N54" s="1888"/>
      <c r="O54" s="1888"/>
      <c r="P54" s="1888"/>
      <c r="Q54" s="1888"/>
      <c r="R54" s="1888"/>
      <c r="S54" s="1888"/>
      <c r="T54" s="1888"/>
    </row>
    <row r="55" spans="1:105" ht="14.25" x14ac:dyDescent="0.25">
      <c r="A55" s="1888"/>
      <c r="B55" s="2285"/>
      <c r="C55" s="2286"/>
      <c r="D55" s="2286"/>
      <c r="E55" s="2286"/>
      <c r="F55" s="1888"/>
      <c r="G55" s="1965" t="s">
        <v>1258</v>
      </c>
      <c r="H55" s="2284">
        <f>+H53+H54</f>
        <v>-6230.2434000000012</v>
      </c>
      <c r="I55" s="2284">
        <f>+I53+I54</f>
        <v>167352.43851908133</v>
      </c>
      <c r="J55" s="2642">
        <f>+I55+H55</f>
        <v>161122.19511908133</v>
      </c>
      <c r="K55" s="1888"/>
      <c r="L55" s="1888"/>
      <c r="M55" s="1888"/>
      <c r="N55" s="1888"/>
      <c r="O55" s="1888"/>
      <c r="P55" s="1888"/>
      <c r="Q55" s="1888"/>
      <c r="R55" s="1888"/>
      <c r="S55" s="1888"/>
      <c r="T55" s="1888"/>
    </row>
    <row r="56" spans="1:105" ht="14.25" x14ac:dyDescent="0.25">
      <c r="A56" s="1888"/>
      <c r="B56" s="2258" t="s">
        <v>52</v>
      </c>
      <c r="C56" s="2287">
        <f>SUM(C34:C54)</f>
        <v>170727.87091908132</v>
      </c>
      <c r="D56" s="2287">
        <f>SUM(D34:D54)</f>
        <v>-9605.6758000000009</v>
      </c>
      <c r="E56" s="2287">
        <f>+D56+C56</f>
        <v>161122.19511908133</v>
      </c>
      <c r="F56" s="1888"/>
      <c r="G56" s="2279"/>
      <c r="H56" s="2288"/>
      <c r="I56" s="2288"/>
      <c r="J56" s="2288"/>
      <c r="K56" s="1888"/>
      <c r="L56" s="1888"/>
      <c r="M56" s="1888"/>
      <c r="N56" s="1888"/>
      <c r="O56" s="1888"/>
      <c r="P56" s="1888"/>
      <c r="Q56" s="1888"/>
      <c r="R56" s="1888"/>
      <c r="S56" s="1888"/>
      <c r="T56" s="1888"/>
    </row>
    <row r="57" spans="1:105"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105"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105" s="2290" customFormat="1" ht="24.95" customHeight="1" x14ac:dyDescent="0.2">
      <c r="A59" s="2289" t="s">
        <v>1259</v>
      </c>
      <c r="B59" s="2264"/>
      <c r="C59" s="1983"/>
      <c r="D59" s="1983"/>
      <c r="E59" s="1983"/>
      <c r="F59" s="2226"/>
      <c r="G59" s="2264"/>
      <c r="H59" s="2264"/>
      <c r="I59" s="2264"/>
      <c r="J59" s="2264"/>
      <c r="K59" s="1910" t="s">
        <v>1260</v>
      </c>
      <c r="L59" s="2264"/>
      <c r="M59" s="2264"/>
      <c r="N59" s="2264"/>
      <c r="O59" s="2264"/>
      <c r="P59" s="2264"/>
      <c r="Q59" s="2264"/>
      <c r="R59" s="2264"/>
      <c r="S59" s="2264"/>
      <c r="T59" s="2028"/>
      <c r="U59" s="1843"/>
      <c r="V59" s="1843"/>
      <c r="W59" s="1843"/>
      <c r="X59" s="1843"/>
      <c r="Y59" s="1843"/>
      <c r="Z59" s="1843"/>
      <c r="AA59" s="1843"/>
      <c r="AB59" s="1843"/>
      <c r="AC59" s="1843"/>
      <c r="AD59" s="1843"/>
      <c r="AE59" s="1843"/>
      <c r="AF59" s="1843"/>
      <c r="AG59" s="1843"/>
      <c r="AH59" s="1843"/>
      <c r="AI59" s="1843"/>
      <c r="AJ59" s="1843"/>
      <c r="AK59" s="1843"/>
      <c r="AL59" s="1843"/>
      <c r="AM59" s="1843"/>
      <c r="AN59" s="1843"/>
      <c r="AO59" s="1843"/>
      <c r="AP59" s="1843"/>
      <c r="AQ59" s="1843"/>
      <c r="AR59" s="1843"/>
      <c r="AS59" s="1843"/>
      <c r="AT59" s="1843"/>
      <c r="AU59" s="1843"/>
      <c r="AV59" s="1843"/>
      <c r="AW59" s="1843"/>
      <c r="AX59" s="1843"/>
      <c r="AY59" s="1843"/>
      <c r="AZ59" s="1843"/>
      <c r="BA59" s="1843"/>
      <c r="BB59" s="1843"/>
      <c r="BC59" s="1843"/>
      <c r="BD59" s="1843"/>
      <c r="BE59" s="1843"/>
      <c r="BF59" s="1843"/>
      <c r="BG59" s="1843"/>
      <c r="BH59" s="1843"/>
      <c r="BI59" s="1843"/>
      <c r="BJ59" s="1843"/>
      <c r="BK59" s="1843"/>
      <c r="BL59" s="1843"/>
      <c r="BM59" s="1843"/>
      <c r="BN59" s="1843"/>
      <c r="BO59" s="1843"/>
      <c r="BP59" s="1843"/>
      <c r="BQ59" s="1843"/>
      <c r="BR59" s="1843"/>
      <c r="BS59" s="1843"/>
      <c r="BT59" s="1843"/>
      <c r="BU59" s="1843"/>
      <c r="BV59" s="1843"/>
      <c r="BW59" s="1843"/>
      <c r="BX59" s="1843"/>
      <c r="BY59" s="1843"/>
      <c r="BZ59" s="1843"/>
      <c r="CA59" s="1843"/>
      <c r="CB59" s="1843"/>
      <c r="CC59" s="1843"/>
      <c r="CD59" s="1843"/>
      <c r="CE59" s="1843"/>
      <c r="CF59" s="1843"/>
      <c r="CG59" s="1843"/>
      <c r="CH59" s="1843"/>
      <c r="CI59" s="1843"/>
      <c r="CJ59" s="1843"/>
      <c r="CK59" s="1843"/>
      <c r="CL59" s="1843"/>
      <c r="CM59" s="1843"/>
      <c r="CN59" s="1843"/>
      <c r="CO59" s="1843"/>
      <c r="CP59" s="1843"/>
      <c r="CQ59" s="1843"/>
      <c r="CR59" s="1843"/>
      <c r="CS59" s="1843"/>
      <c r="CT59" s="1843"/>
      <c r="CU59" s="1843"/>
      <c r="CV59" s="1843"/>
      <c r="CW59" s="1843"/>
      <c r="CX59" s="1843"/>
      <c r="CY59" s="1843"/>
      <c r="CZ59" s="1843"/>
      <c r="DA59" s="1843"/>
    </row>
    <row r="60" spans="1:105"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105" ht="14.25" x14ac:dyDescent="0.25">
      <c r="A61" s="1888"/>
      <c r="B61" s="2292"/>
      <c r="C61" s="2293" t="s">
        <v>1238</v>
      </c>
      <c r="D61" s="2293" t="s">
        <v>1258</v>
      </c>
      <c r="E61" s="1955"/>
      <c r="F61" s="1955"/>
      <c r="G61" s="1955"/>
      <c r="H61" s="1955"/>
      <c r="I61" s="1955"/>
      <c r="J61" s="1955"/>
      <c r="K61" s="2294"/>
      <c r="L61" s="2295" t="s">
        <v>1261</v>
      </c>
      <c r="M61" s="2293" t="s">
        <v>1258</v>
      </c>
      <c r="N61" s="1888"/>
      <c r="O61" s="1888"/>
      <c r="P61" s="1888"/>
      <c r="Q61" s="1888"/>
      <c r="R61" s="1888"/>
      <c r="S61" s="1888"/>
      <c r="T61" s="1888"/>
    </row>
    <row r="62" spans="1:105" ht="14.25" x14ac:dyDescent="0.25">
      <c r="A62" s="1888"/>
      <c r="B62" s="2296" t="str">
        <f>+'CO2 - Cálculos'!AC16</f>
        <v>Resíduos de alimentos</v>
      </c>
      <c r="C62" s="2297">
        <f>+'CO2 - Cálculos'!AD16</f>
        <v>0</v>
      </c>
      <c r="D62" s="2022"/>
      <c r="E62" s="1955"/>
      <c r="F62" s="1955"/>
      <c r="G62" s="1955"/>
      <c r="H62" s="1955"/>
      <c r="I62" s="1955"/>
      <c r="J62" s="1955"/>
      <c r="K62" s="2298" t="str">
        <f>+'CO2 - Cálculos'!AC61</f>
        <v>Resíduos dispersos</v>
      </c>
      <c r="L62" s="2297">
        <f>+'CO2 - Cálculos'!AD61</f>
        <v>0</v>
      </c>
      <c r="M62" s="2022"/>
      <c r="N62" s="1888"/>
      <c r="O62" s="1888"/>
      <c r="P62" s="1888"/>
      <c r="Q62" s="1888"/>
      <c r="R62" s="1888"/>
      <c r="S62" s="1888"/>
      <c r="T62" s="1888"/>
    </row>
    <row r="63" spans="1:105" ht="14.25" x14ac:dyDescent="0.25">
      <c r="A63" s="1888"/>
      <c r="B63" s="2296" t="str">
        <f>+'CO2 - Cálculos'!AC17</f>
        <v>Resíduos de jardins e parques</v>
      </c>
      <c r="C63" s="2297">
        <f>+'CO2 - Cálculos'!AD17</f>
        <v>0</v>
      </c>
      <c r="D63" s="2022"/>
      <c r="E63" s="1955"/>
      <c r="F63" s="1955"/>
      <c r="G63" s="1955"/>
      <c r="H63" s="1955"/>
      <c r="I63" s="1955"/>
      <c r="J63" s="1955"/>
      <c r="K63" s="2298" t="str">
        <f>+'CO2 - Cálculos'!AC62</f>
        <v>Queima a céu aberto</v>
      </c>
      <c r="L63" s="2297">
        <f>+'CO2 - Cálculos'!AD62</f>
        <v>0</v>
      </c>
      <c r="M63" s="2022"/>
      <c r="N63" s="1888"/>
      <c r="O63" s="1888"/>
      <c r="P63" s="1888"/>
      <c r="Q63" s="1888"/>
      <c r="R63" s="1888"/>
      <c r="S63" s="1888"/>
      <c r="T63" s="1888"/>
    </row>
    <row r="64" spans="1:105" ht="14.25" x14ac:dyDescent="0.25">
      <c r="A64" s="1888"/>
      <c r="B64" s="2296" t="str">
        <f>+'CO2 - Cálculos'!AC18</f>
        <v>Papel, papelão</v>
      </c>
      <c r="C64" s="2297">
        <f>+'CO2 - Cálculos'!AD18</f>
        <v>2402.2256000000002</v>
      </c>
      <c r="D64" s="2022"/>
      <c r="E64" s="1955"/>
      <c r="F64" s="1955"/>
      <c r="G64" s="1955"/>
      <c r="H64" s="1955"/>
      <c r="I64" s="1955"/>
      <c r="J64" s="1955"/>
      <c r="K64" s="2298" t="str">
        <f>+'CO2 - Cálculos'!AC63</f>
        <v>Lixão não controlado</v>
      </c>
      <c r="L64" s="2297">
        <f>+'CO2 - Cálculos'!AD63</f>
        <v>0</v>
      </c>
      <c r="M64" s="2022"/>
      <c r="N64" s="1888"/>
      <c r="O64" s="1888"/>
      <c r="P64" s="1888"/>
      <c r="Q64" s="1888"/>
      <c r="R64" s="1888"/>
      <c r="S64" s="1888"/>
      <c r="T64" s="1888"/>
    </row>
    <row r="65" spans="1:20" ht="14.25" x14ac:dyDescent="0.25">
      <c r="A65" s="1888"/>
      <c r="B65" s="2296" t="str">
        <f>+'CO2 - Cálculos'!AC19</f>
        <v>Plásticos</v>
      </c>
      <c r="C65" s="2297">
        <f>+'CO2 - Cálculos'!AD19</f>
        <v>808.11</v>
      </c>
      <c r="D65" s="2022"/>
      <c r="E65" s="1955"/>
      <c r="F65" s="1955"/>
      <c r="G65" s="1955"/>
      <c r="H65" s="1955"/>
      <c r="I65" s="1955"/>
      <c r="J65" s="1955"/>
      <c r="K65" s="2298" t="str">
        <f>+'CO2 - Cálculos'!AC64</f>
        <v>Aterro controlado</v>
      </c>
      <c r="L65" s="2297">
        <f>+'CO2 - Cálculos'!AD64</f>
        <v>0</v>
      </c>
      <c r="M65" s="2022"/>
      <c r="N65" s="1888"/>
      <c r="O65" s="1888"/>
      <c r="P65" s="1888"/>
      <c r="Q65" s="1888"/>
      <c r="R65" s="1888"/>
      <c r="S65" s="1888"/>
      <c r="T65" s="1888"/>
    </row>
    <row r="66" spans="1:20" ht="14.25" x14ac:dyDescent="0.25">
      <c r="A66" s="1888"/>
      <c r="B66" s="2296" t="str">
        <f>+'CO2 - Cálculos'!AC20</f>
        <v>Vidros</v>
      </c>
      <c r="C66" s="2297">
        <f>+'CO2 - Cálculos'!AD20</f>
        <v>0</v>
      </c>
      <c r="D66" s="2022"/>
      <c r="E66" s="1955"/>
      <c r="F66" s="1955"/>
      <c r="G66" s="1955"/>
      <c r="H66" s="1955"/>
      <c r="I66" s="1955"/>
      <c r="J66" s="1955"/>
      <c r="K66" s="2298" t="str">
        <f>+'CO2 - Cálculos'!AC65</f>
        <v>Aterro sanitário</v>
      </c>
      <c r="L66" s="2297">
        <f>+'CO2 - Cálculos'!AD65</f>
        <v>167352.43851908133</v>
      </c>
      <c r="M66" s="2022"/>
      <c r="N66" s="1888"/>
      <c r="O66" s="1888"/>
      <c r="P66" s="1888"/>
      <c r="Q66" s="1888"/>
      <c r="R66" s="1888"/>
      <c r="S66" s="1888"/>
      <c r="T66" s="1888"/>
    </row>
    <row r="67" spans="1:20" ht="14.25" x14ac:dyDescent="0.25">
      <c r="A67" s="1888"/>
      <c r="B67" s="2296" t="str">
        <f>+'CO2 - Cálculos'!AC21</f>
        <v>Metais ferrosos</v>
      </c>
      <c r="C67" s="2297">
        <f>+'CO2 - Cálculos'!AD21</f>
        <v>42.982399999999998</v>
      </c>
      <c r="D67" s="2022"/>
      <c r="E67" s="1955"/>
      <c r="F67" s="1955"/>
      <c r="G67" s="1955"/>
      <c r="H67" s="1955"/>
      <c r="I67" s="1955"/>
      <c r="J67" s="1955"/>
      <c r="K67" s="2298" t="str">
        <f>+'CO2 - Cálculos'!AC66</f>
        <v>Trat. biol + cobertura at.</v>
      </c>
      <c r="L67" s="2297">
        <f>+'CO2 - Cálculos'!AD66</f>
        <v>0</v>
      </c>
      <c r="M67" s="2022"/>
      <c r="N67" s="1888"/>
      <c r="O67" s="1888"/>
      <c r="P67" s="1888"/>
      <c r="Q67" s="1888"/>
      <c r="R67" s="1888"/>
      <c r="S67" s="1888"/>
      <c r="T67" s="1888"/>
    </row>
    <row r="68" spans="1:20" ht="14.25" x14ac:dyDescent="0.25">
      <c r="A68" s="1888"/>
      <c r="B68" s="2296" t="str">
        <f>+'CO2 - Cálculos'!AC22</f>
        <v>Alumínio</v>
      </c>
      <c r="C68" s="2297">
        <f>+'CO2 - Cálculos'!AD22</f>
        <v>122.1144</v>
      </c>
      <c r="D68" s="2022"/>
      <c r="E68" s="1955"/>
      <c r="F68" s="1955"/>
      <c r="G68" s="1955"/>
      <c r="H68" s="1955"/>
      <c r="I68" s="1955"/>
      <c r="J68" s="1955"/>
      <c r="K68" s="2298" t="str">
        <f>+'CO2 - Cálculos'!AC67</f>
        <v>CDR seco + rejeito aterro</v>
      </c>
      <c r="L68" s="2297">
        <f>+'CO2 - Cálculos'!AD67</f>
        <v>0</v>
      </c>
      <c r="M68" s="2022"/>
      <c r="N68" s="1888"/>
      <c r="O68" s="1888"/>
      <c r="P68" s="1888"/>
      <c r="Q68" s="1888"/>
      <c r="R68" s="1888"/>
      <c r="S68" s="1888"/>
      <c r="T68" s="1888"/>
    </row>
    <row r="69" spans="1:20" ht="14.25" x14ac:dyDescent="0.25">
      <c r="A69" s="2232"/>
      <c r="B69" s="2296" t="str">
        <f>+'CO2 - Cálculos'!AC23</f>
        <v>Têxteis</v>
      </c>
      <c r="C69" s="2297">
        <f>+'CO2 - Cálculos'!AD23</f>
        <v>0</v>
      </c>
      <c r="D69" s="2022"/>
      <c r="E69" s="1955"/>
      <c r="F69" s="1955"/>
      <c r="G69" s="1955"/>
      <c r="H69" s="1955"/>
      <c r="I69" s="1955"/>
      <c r="J69" s="1955"/>
      <c r="K69" s="2298" t="str">
        <f>+'CO2 - Cálculos'!AC68</f>
        <v>CDR seco + trat. biol.</v>
      </c>
      <c r="L69" s="2297">
        <f>+'CO2 - Cálculos'!AD68</f>
        <v>0</v>
      </c>
      <c r="M69" s="2022"/>
      <c r="N69" s="1888"/>
      <c r="O69" s="1888"/>
      <c r="P69" s="1888"/>
      <c r="Q69" s="1888"/>
      <c r="R69" s="1888"/>
      <c r="S69" s="1888"/>
      <c r="T69" s="1888"/>
    </row>
    <row r="70" spans="1:20" ht="14.25" x14ac:dyDescent="0.25">
      <c r="A70" s="1888"/>
      <c r="B70" s="2296" t="s">
        <v>1256</v>
      </c>
      <c r="C70" s="2022"/>
      <c r="D70" s="2299"/>
      <c r="E70" s="1955"/>
      <c r="F70" s="1955"/>
      <c r="G70" s="1955"/>
      <c r="H70" s="1955"/>
      <c r="I70" s="1955"/>
      <c r="J70" s="1955"/>
      <c r="K70" s="2298" t="str">
        <f>+'CO2 - Cálculos'!AC69</f>
        <v>CDR seco + CDR org.</v>
      </c>
      <c r="L70" s="2297">
        <f>+'CO2 - Cálculos'!AD69</f>
        <v>0</v>
      </c>
      <c r="M70" s="2022"/>
      <c r="N70" s="1888"/>
      <c r="O70" s="1888"/>
      <c r="P70" s="1888"/>
      <c r="Q70" s="1888"/>
      <c r="R70" s="1888"/>
      <c r="S70" s="1888"/>
      <c r="T70" s="1888"/>
    </row>
    <row r="71" spans="1:20" ht="14.25" x14ac:dyDescent="0.25">
      <c r="A71" s="1888"/>
      <c r="B71" s="2300" t="str">
        <f>+'CO2 - Cálculos'!AC25</f>
        <v>Resíduos de alimentos</v>
      </c>
      <c r="C71" s="2297">
        <f>+'CO2 - Cálculos'!AD25</f>
        <v>0</v>
      </c>
      <c r="D71" s="2022"/>
      <c r="E71" s="1955"/>
      <c r="F71" s="1955"/>
      <c r="G71" s="1955"/>
      <c r="H71" s="1955"/>
      <c r="I71" s="1955"/>
      <c r="J71" s="1955"/>
      <c r="K71" s="2298" t="str">
        <f>+'CO2 - Cálculos'!AC70</f>
        <v>Incineração</v>
      </c>
      <c r="L71" s="2297">
        <f>+'CO2 - Cálculos'!AD70</f>
        <v>0</v>
      </c>
      <c r="M71" s="2022"/>
      <c r="N71" s="1888"/>
      <c r="O71" s="1888"/>
      <c r="P71" s="1888"/>
      <c r="Q71" s="1888"/>
      <c r="R71" s="1888"/>
      <c r="S71" s="1888"/>
      <c r="T71" s="1888"/>
    </row>
    <row r="72" spans="1:20" ht="14.25" x14ac:dyDescent="0.25">
      <c r="A72" s="1888"/>
      <c r="B72" s="2300" t="str">
        <f>+'CO2 - Cálculos'!AC26</f>
        <v>Resíduos de jardins e parques</v>
      </c>
      <c r="C72" s="2297">
        <f>+'CO2 - Cálculos'!AD26</f>
        <v>0</v>
      </c>
      <c r="D72" s="2022"/>
      <c r="E72" s="1955"/>
      <c r="F72" s="1955"/>
      <c r="G72" s="1955"/>
      <c r="H72" s="1955"/>
      <c r="I72" s="1955"/>
      <c r="J72" s="1955"/>
      <c r="K72" s="2301" t="s">
        <v>1256</v>
      </c>
      <c r="L72" s="2022"/>
      <c r="M72" s="2022"/>
      <c r="N72" s="1888"/>
      <c r="O72" s="1888"/>
      <c r="P72" s="1888"/>
      <c r="Q72" s="1888"/>
      <c r="R72" s="1888"/>
      <c r="S72" s="1888"/>
      <c r="T72" s="1888"/>
    </row>
    <row r="73" spans="1:20" ht="14.25" x14ac:dyDescent="0.25">
      <c r="A73" s="1888"/>
      <c r="B73" s="2300" t="str">
        <f>+'CO2 - Cálculos'!AC27</f>
        <v>Papel, papelão</v>
      </c>
      <c r="C73" s="2297">
        <f>+'CO2 - Cálculos'!AD27</f>
        <v>-2960.7048000000004</v>
      </c>
      <c r="D73" s="2022"/>
      <c r="E73" s="1955"/>
      <c r="F73" s="1955"/>
      <c r="G73" s="1955"/>
      <c r="H73" s="1955"/>
      <c r="I73" s="1955"/>
      <c r="J73" s="1955"/>
      <c r="K73" s="2298" t="str">
        <f>+'CO2 - Cálculos'!AC72</f>
        <v>Resíduos dispersos</v>
      </c>
      <c r="L73" s="2297">
        <f>+'CO2 - Cálculos'!AD72</f>
        <v>0</v>
      </c>
      <c r="M73" s="2022"/>
      <c r="N73" s="1888"/>
      <c r="O73" s="1888"/>
      <c r="P73" s="1888"/>
      <c r="Q73" s="1888"/>
      <c r="R73" s="1888"/>
      <c r="S73" s="1888"/>
      <c r="T73" s="1888"/>
    </row>
    <row r="74" spans="1:20" ht="14.25" x14ac:dyDescent="0.25">
      <c r="A74" s="1888"/>
      <c r="B74" s="2300" t="str">
        <f>+'CO2 - Cálculos'!AC28</f>
        <v>Plásticos</v>
      </c>
      <c r="C74" s="2297">
        <f>+'CO2 - Cálculos'!AD28</f>
        <v>-3764.2157999999999</v>
      </c>
      <c r="D74" s="2022"/>
      <c r="E74" s="1955"/>
      <c r="F74" s="1955"/>
      <c r="G74" s="1955"/>
      <c r="H74" s="1955"/>
      <c r="I74" s="1955"/>
      <c r="J74" s="1955"/>
      <c r="K74" s="2298" t="str">
        <f>+'CO2 - Cálculos'!AC73</f>
        <v>Queima a céu aberto</v>
      </c>
      <c r="L74" s="2297">
        <f>+'CO2 - Cálculos'!AD73</f>
        <v>0</v>
      </c>
      <c r="M74" s="2022"/>
      <c r="N74" s="1888"/>
      <c r="O74" s="1888"/>
      <c r="P74" s="1888"/>
      <c r="Q74" s="1888"/>
      <c r="R74" s="1888"/>
      <c r="S74" s="1888"/>
      <c r="T74" s="1888"/>
    </row>
    <row r="75" spans="1:20" ht="14.25" x14ac:dyDescent="0.25">
      <c r="A75" s="1888"/>
      <c r="B75" s="2300" t="str">
        <f>+'CO2 - Cálculos'!AC29</f>
        <v>Vidros</v>
      </c>
      <c r="C75" s="2297">
        <f>+'CO2 - Cálculos'!AD29</f>
        <v>0</v>
      </c>
      <c r="D75" s="2022"/>
      <c r="E75" s="1955"/>
      <c r="F75" s="1955"/>
      <c r="G75" s="1955"/>
      <c r="H75" s="1955"/>
      <c r="I75" s="1955"/>
      <c r="J75" s="1955"/>
      <c r="K75" s="2298" t="str">
        <f>+'CO2 - Cálculos'!AC74</f>
        <v>Lixão não controlado</v>
      </c>
      <c r="L75" s="2297">
        <f>+'CO2 - Cálculos'!AD74</f>
        <v>0</v>
      </c>
      <c r="M75" s="2022"/>
      <c r="N75" s="1888"/>
      <c r="O75" s="1888"/>
      <c r="P75" s="1888"/>
      <c r="Q75" s="1888"/>
      <c r="R75" s="1888"/>
      <c r="S75" s="1888"/>
      <c r="T75" s="1888"/>
    </row>
    <row r="76" spans="1:20" ht="14.25" x14ac:dyDescent="0.25">
      <c r="A76" s="1888"/>
      <c r="B76" s="2300" t="str">
        <f>+'CO2 - Cálculos'!AC30</f>
        <v>Metais ferrosos</v>
      </c>
      <c r="C76" s="2297">
        <f>+'CO2 - Cálculos'!AD30</f>
        <v>-1149.7791999999999</v>
      </c>
      <c r="D76" s="2022"/>
      <c r="E76" s="1955"/>
      <c r="F76" s="1955"/>
      <c r="G76" s="1955"/>
      <c r="H76" s="1955"/>
      <c r="I76" s="1955"/>
      <c r="J76" s="1955"/>
      <c r="K76" s="2298" t="str">
        <f>+'CO2 - Cálculos'!AC75</f>
        <v>Aterro controlado</v>
      </c>
      <c r="L76" s="2297">
        <f>+'CO2 - Cálculos'!AD75</f>
        <v>0</v>
      </c>
      <c r="M76" s="2022"/>
      <c r="N76" s="1888"/>
      <c r="O76" s="1888"/>
      <c r="P76" s="1888"/>
      <c r="Q76" s="1888"/>
      <c r="R76" s="1888"/>
      <c r="S76" s="1888"/>
      <c r="T76" s="1888"/>
    </row>
    <row r="77" spans="1:20" ht="14.25" x14ac:dyDescent="0.25">
      <c r="A77" s="1888"/>
      <c r="B77" s="2300" t="str">
        <f>+'CO2 - Cálculos'!AC31</f>
        <v>Alumínio</v>
      </c>
      <c r="C77" s="2297">
        <f>+'CO2 - Cálculos'!AD31</f>
        <v>-1730.9760000000003</v>
      </c>
      <c r="D77" s="2022"/>
      <c r="E77" s="1955"/>
      <c r="F77" s="1955"/>
      <c r="G77" s="1955"/>
      <c r="H77" s="1955"/>
      <c r="I77" s="1955"/>
      <c r="J77" s="1955"/>
      <c r="K77" s="2298" t="str">
        <f>+'CO2 - Cálculos'!AC76</f>
        <v>Aterro sanitário</v>
      </c>
      <c r="L77" s="2297">
        <f>+'CO2 - Cálculos'!AD76</f>
        <v>0</v>
      </c>
      <c r="M77" s="2022"/>
      <c r="N77" s="1888"/>
      <c r="O77" s="1888"/>
      <c r="P77" s="1888"/>
      <c r="Q77" s="1888"/>
      <c r="R77" s="1888"/>
      <c r="S77" s="1888"/>
      <c r="T77" s="1888"/>
    </row>
    <row r="78" spans="1:20" ht="14.25" x14ac:dyDescent="0.25">
      <c r="A78" s="1888"/>
      <c r="B78" s="2300" t="str">
        <f>+'CO2 - Cálculos'!AC32</f>
        <v>Têxteis</v>
      </c>
      <c r="C78" s="2297">
        <f>+'CO2 - Cálculos'!AD32</f>
        <v>0</v>
      </c>
      <c r="D78" s="2022"/>
      <c r="E78" s="1955"/>
      <c r="F78" s="1955"/>
      <c r="G78" s="1955"/>
      <c r="H78" s="1955"/>
      <c r="I78" s="1955"/>
      <c r="J78" s="1955"/>
      <c r="K78" s="2298" t="str">
        <f>+'CO2 - Cálculos'!AC77</f>
        <v>Trat. biol + cobertura at.</v>
      </c>
      <c r="L78" s="2297">
        <f>+'CO2 - Cálculos'!AD77</f>
        <v>0</v>
      </c>
      <c r="M78" s="2022"/>
      <c r="N78" s="1888"/>
      <c r="O78" s="1888"/>
      <c r="P78" s="1888"/>
      <c r="Q78" s="1888"/>
      <c r="R78" s="1888"/>
      <c r="S78" s="1888"/>
      <c r="T78" s="1888"/>
    </row>
    <row r="79" spans="1:20" ht="14.25" x14ac:dyDescent="0.25">
      <c r="A79" s="1888"/>
      <c r="B79" s="2302" t="s">
        <v>1257</v>
      </c>
      <c r="C79" s="2022"/>
      <c r="D79" s="2299"/>
      <c r="E79" s="1955"/>
      <c r="F79" s="1955"/>
      <c r="G79" s="1955"/>
      <c r="H79" s="1955"/>
      <c r="I79" s="1955"/>
      <c r="J79" s="1955"/>
      <c r="K79" s="2298" t="str">
        <f>+'CO2 - Cálculos'!AC78</f>
        <v>CDR seco + rejeito aterro</v>
      </c>
      <c r="L79" s="2297">
        <f>+'CO2 - Cálculos'!AD78</f>
        <v>0</v>
      </c>
      <c r="M79" s="2022"/>
      <c r="N79" s="1888"/>
      <c r="O79" s="1888"/>
      <c r="P79" s="1888"/>
      <c r="Q79" s="1888"/>
      <c r="R79" s="1888"/>
      <c r="S79" s="1888"/>
      <c r="T79" s="1888"/>
    </row>
    <row r="80" spans="1:20" ht="14.25" x14ac:dyDescent="0.25">
      <c r="A80" s="1888"/>
      <c r="B80" s="2302" t="s">
        <v>1262</v>
      </c>
      <c r="C80" s="2022"/>
      <c r="D80" s="2297">
        <f>SUM(C62:C69,C71:C78)</f>
        <v>-6230.2434000000012</v>
      </c>
      <c r="E80" s="1955"/>
      <c r="F80" s="1955"/>
      <c r="G80" s="1955"/>
      <c r="H80" s="1955"/>
      <c r="I80" s="1955"/>
      <c r="J80" s="1955"/>
      <c r="K80" s="2298" t="str">
        <f>+'CO2 - Cálculos'!AC79</f>
        <v>CDR seco + trat. biol.</v>
      </c>
      <c r="L80" s="2297">
        <f>+'CO2 - Cálculos'!AD79</f>
        <v>0</v>
      </c>
      <c r="M80" s="2022"/>
      <c r="N80" s="1888"/>
      <c r="O80" s="1888"/>
      <c r="P80" s="1888"/>
      <c r="Q80" s="1888"/>
      <c r="R80" s="1888"/>
      <c r="S80" s="1888"/>
      <c r="T80" s="1888"/>
    </row>
    <row r="81" spans="1:20" ht="14.25" x14ac:dyDescent="0.25">
      <c r="A81" s="1888"/>
      <c r="B81" s="1955"/>
      <c r="C81" s="1955"/>
      <c r="D81" s="1955"/>
      <c r="E81" s="1955"/>
      <c r="F81" s="1955"/>
      <c r="G81" s="1955"/>
      <c r="H81" s="1955"/>
      <c r="I81" s="1955"/>
      <c r="J81" s="1955"/>
      <c r="K81" s="2298" t="str">
        <f>+'CO2 - Cálculos'!AC80</f>
        <v>CDR seco + CDR org.</v>
      </c>
      <c r="L81" s="2297">
        <f>+'CO2 - Cálculos'!AD80</f>
        <v>0</v>
      </c>
      <c r="M81" s="2022"/>
      <c r="N81" s="1888"/>
      <c r="O81" s="1888"/>
      <c r="P81" s="1888"/>
      <c r="Q81" s="1888"/>
      <c r="R81" s="1888"/>
      <c r="S81" s="1888"/>
      <c r="T81" s="1888"/>
    </row>
    <row r="82" spans="1:20" ht="14.25" x14ac:dyDescent="0.2">
      <c r="A82" s="1888"/>
      <c r="B82" s="1888"/>
      <c r="C82" s="1888"/>
      <c r="D82" s="1888"/>
      <c r="E82" s="2265"/>
      <c r="F82" s="1888"/>
      <c r="G82" s="1888"/>
      <c r="H82" s="1888"/>
      <c r="I82" s="1888"/>
      <c r="J82" s="1888"/>
      <c r="K82" s="2298" t="str">
        <f>+'CO2 - Cálculos'!AC81</f>
        <v>Incineração</v>
      </c>
      <c r="L82" s="2297">
        <f>+'CO2 - Cálculos'!AD81</f>
        <v>0</v>
      </c>
      <c r="M82" s="2022"/>
      <c r="N82" s="1888"/>
      <c r="O82" s="1888"/>
      <c r="P82" s="1888"/>
      <c r="Q82" s="1888"/>
      <c r="R82" s="1888"/>
      <c r="S82" s="1888"/>
      <c r="T82" s="1888"/>
    </row>
    <row r="83" spans="1:20" ht="14.25" x14ac:dyDescent="0.25">
      <c r="A83" s="1888"/>
      <c r="B83" s="1888"/>
      <c r="C83" s="1888"/>
      <c r="D83" s="1888"/>
      <c r="E83" s="2265"/>
      <c r="F83" s="1888"/>
      <c r="G83" s="1888"/>
      <c r="H83" s="1888"/>
      <c r="I83" s="1888"/>
      <c r="J83" s="1888"/>
      <c r="K83" s="2302" t="s">
        <v>1257</v>
      </c>
      <c r="L83" s="2022"/>
      <c r="M83" s="2022"/>
      <c r="N83" s="1888"/>
      <c r="O83" s="1888"/>
      <c r="P83" s="1888"/>
      <c r="Q83" s="1888"/>
      <c r="R83" s="1888"/>
      <c r="S83" s="1888"/>
      <c r="T83" s="1888"/>
    </row>
    <row r="84" spans="1:20" ht="14.25" x14ac:dyDescent="0.25">
      <c r="A84" s="1888"/>
      <c r="B84" s="1888"/>
      <c r="C84" s="1888"/>
      <c r="D84" s="1888"/>
      <c r="E84" s="2265"/>
      <c r="F84" s="1888"/>
      <c r="G84" s="1888"/>
      <c r="H84" s="1888"/>
      <c r="I84" s="1888"/>
      <c r="J84" s="1888"/>
      <c r="K84" s="2302" t="s">
        <v>1258</v>
      </c>
      <c r="L84" s="2022"/>
      <c r="M84" s="2297">
        <f>SUM(L62:L71,L73:L82)</f>
        <v>167352.43851908133</v>
      </c>
      <c r="N84" s="1888"/>
      <c r="O84" s="1888"/>
      <c r="P84" s="1888"/>
      <c r="Q84" s="1888"/>
      <c r="R84" s="1888"/>
      <c r="S84" s="1888"/>
      <c r="T84" s="1888"/>
    </row>
    <row r="85" spans="1:20" ht="14.25" x14ac:dyDescent="0.25">
      <c r="A85" s="1888"/>
      <c r="B85" s="1888"/>
      <c r="C85" s="1888"/>
      <c r="D85" s="1888"/>
      <c r="E85" s="1888"/>
      <c r="F85" s="1888"/>
      <c r="G85" s="1888"/>
      <c r="H85" s="1888"/>
      <c r="I85" s="1888"/>
      <c r="J85" s="1888"/>
      <c r="K85" s="1955"/>
      <c r="L85" s="1888"/>
      <c r="M85" s="1888"/>
      <c r="N85" s="1888"/>
      <c r="O85" s="1888"/>
      <c r="P85" s="1888"/>
      <c r="Q85" s="1888"/>
      <c r="R85" s="1888"/>
      <c r="S85" s="1888"/>
      <c r="T85" s="1888"/>
    </row>
    <row r="86" spans="1:20" ht="14.25" x14ac:dyDescent="0.25">
      <c r="A86" s="1888"/>
      <c r="B86" s="1888"/>
      <c r="C86" s="1888"/>
      <c r="D86" s="1888"/>
      <c r="E86" s="1888"/>
      <c r="F86" s="1888"/>
      <c r="G86" s="1888"/>
      <c r="H86" s="1888"/>
      <c r="I86" s="1888"/>
      <c r="J86" s="1888"/>
      <c r="K86" s="1955"/>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DC87C-56E9-4549-A956-6D6F6497423B}">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 style="1844" customWidth="1"/>
    <col min="4" max="4" width="15.42578125" style="1844" bestFit="1" customWidth="1"/>
    <col min="5" max="5" width="16.140625" style="1844" customWidth="1"/>
    <col min="6" max="7" width="11.42578125" style="1844"/>
    <col min="8" max="8" width="17.7109375" style="1844" bestFit="1" customWidth="1"/>
    <col min="9" max="9" width="22.85546875" style="1844" bestFit="1" customWidth="1"/>
    <col min="10" max="10" width="12" style="1844" customWidth="1"/>
    <col min="11" max="11" width="34.42578125" style="1844" customWidth="1"/>
    <col min="12" max="12" width="19.5703125" style="1844" bestFit="1" customWidth="1"/>
    <col min="13" max="13" width="10.85546875" style="1844" customWidth="1"/>
    <col min="14" max="16384" width="11.42578125" style="1844"/>
  </cols>
  <sheetData>
    <row r="1" spans="1:20" s="2227" customFormat="1" ht="26.1" customHeight="1" x14ac:dyDescent="0.2">
      <c r="A1" s="1910" t="s">
        <v>1236</v>
      </c>
      <c r="B1" s="1983"/>
      <c r="C1" s="1983"/>
      <c r="D1" s="1983"/>
      <c r="E1" s="1983"/>
      <c r="F1" s="2303"/>
      <c r="G1" s="2303"/>
      <c r="H1" s="2303"/>
      <c r="I1" s="2303"/>
      <c r="J1" s="2303"/>
      <c r="K1" s="2226"/>
      <c r="L1" s="2226"/>
      <c r="M1" s="2226"/>
      <c r="N1" s="2226"/>
      <c r="O1" s="2226"/>
      <c r="P1" s="2226"/>
      <c r="Q1" s="2226"/>
      <c r="R1" s="2226"/>
      <c r="S1" s="2226"/>
      <c r="T1" s="2226"/>
    </row>
    <row r="2" spans="1:20" ht="14.25" customHeight="1" x14ac:dyDescent="0.25">
      <c r="A2" s="2228"/>
      <c r="B2" s="2229"/>
      <c r="C2" s="2028"/>
      <c r="D2" s="2028"/>
      <c r="E2" s="2028"/>
      <c r="F2" s="2028"/>
      <c r="G2" s="2028"/>
      <c r="H2" s="2028"/>
      <c r="I2" s="2028"/>
      <c r="J2" s="2028"/>
      <c r="K2" s="1888"/>
      <c r="L2" s="1888"/>
      <c r="M2" s="1888"/>
      <c r="N2" s="1888"/>
      <c r="O2" s="1888"/>
      <c r="P2" s="1888"/>
      <c r="Q2" s="1888"/>
      <c r="R2" s="1888"/>
      <c r="S2" s="1888"/>
      <c r="T2" s="1888"/>
    </row>
    <row r="3" spans="1:20" ht="18" customHeight="1" x14ac:dyDescent="0.2">
      <c r="A3" s="1888"/>
      <c r="B3" s="2304" t="s">
        <v>1237</v>
      </c>
      <c r="C3" s="2305">
        <f>+'CO2 - Cálculos'!AE58</f>
        <v>146000</v>
      </c>
      <c r="D3" s="2232"/>
      <c r="E3" s="2232"/>
      <c r="F3" s="1888"/>
      <c r="G3" s="1888"/>
      <c r="H3" s="1888"/>
      <c r="I3" s="1888"/>
      <c r="J3" s="1888"/>
      <c r="K3" s="1888"/>
      <c r="L3" s="1888"/>
      <c r="M3" s="1888"/>
      <c r="N3" s="1888"/>
      <c r="O3" s="1888"/>
      <c r="P3" s="1888"/>
      <c r="Q3" s="1888"/>
      <c r="R3" s="1888"/>
      <c r="S3" s="1888"/>
      <c r="T3" s="1888"/>
    </row>
    <row r="4" spans="1:20" ht="18" customHeight="1" x14ac:dyDescent="0.2">
      <c r="A4" s="1888"/>
      <c r="B4" s="1906"/>
      <c r="C4" s="2306"/>
      <c r="D4" s="2235"/>
      <c r="E4" s="2235"/>
      <c r="F4" s="1888"/>
      <c r="G4" s="1888"/>
      <c r="H4" s="1888"/>
      <c r="I4" s="1888"/>
      <c r="J4" s="1888"/>
      <c r="K4" s="1888"/>
      <c r="L4" s="1888"/>
      <c r="M4" s="2307"/>
      <c r="N4" s="2307"/>
      <c r="O4" s="2307"/>
      <c r="P4" s="2307"/>
      <c r="Q4" s="2307"/>
      <c r="R4" s="2307"/>
      <c r="S4" s="1888"/>
      <c r="T4" s="1888"/>
    </row>
    <row r="5" spans="1:20" ht="18" customHeight="1" x14ac:dyDescent="0.25">
      <c r="A5" s="1888"/>
      <c r="B5" s="2304" t="s">
        <v>1238</v>
      </c>
      <c r="C5" s="2305">
        <f>+'CO2 - Cálculos'!AE13</f>
        <v>14727.458000000001</v>
      </c>
      <c r="D5" s="2232"/>
      <c r="E5" s="2232"/>
      <c r="F5" s="1888"/>
      <c r="G5" s="1888"/>
      <c r="H5" s="1888"/>
      <c r="I5" s="1888"/>
      <c r="J5" s="1888"/>
      <c r="K5" s="1888"/>
      <c r="L5" s="1955"/>
      <c r="M5" s="1955"/>
      <c r="N5" s="1955"/>
      <c r="O5" s="2971" t="s">
        <v>1263</v>
      </c>
      <c r="P5" s="2972"/>
      <c r="Q5" s="1955"/>
      <c r="R5" s="1955"/>
      <c r="S5" s="1888"/>
      <c r="T5" s="1888"/>
    </row>
    <row r="6" spans="1:20" ht="18" customHeight="1" x14ac:dyDescent="0.25">
      <c r="A6" s="1888"/>
      <c r="B6" s="2308"/>
      <c r="C6" s="2309"/>
      <c r="D6" s="2232"/>
      <c r="E6" s="2232"/>
      <c r="F6" s="1888"/>
      <c r="G6" s="1888"/>
      <c r="H6" s="1888"/>
      <c r="I6" s="1888"/>
      <c r="J6" s="1888"/>
      <c r="K6" s="1888"/>
      <c r="L6" s="1955"/>
      <c r="M6" s="1955"/>
      <c r="N6" s="1955"/>
      <c r="O6" s="2973">
        <f>+C3</f>
        <v>146000</v>
      </c>
      <c r="P6" s="2974"/>
      <c r="Q6" s="1955"/>
      <c r="R6" s="1955"/>
      <c r="S6" s="1888"/>
      <c r="T6" s="1888"/>
    </row>
    <row r="7" spans="1:20" ht="18" customHeight="1" x14ac:dyDescent="0.25">
      <c r="A7" s="1888"/>
      <c r="B7" s="2224" t="s">
        <v>1107</v>
      </c>
      <c r="C7" s="2310">
        <f>+'CO2 - Cálculos'!AE5</f>
        <v>0</v>
      </c>
      <c r="D7" s="2232"/>
      <c r="E7" s="2232"/>
      <c r="F7" s="1888"/>
      <c r="G7" s="1888"/>
      <c r="H7" s="1888"/>
      <c r="I7" s="1888"/>
      <c r="J7" s="1888"/>
      <c r="K7" s="1888"/>
      <c r="L7" s="1955"/>
      <c r="M7" s="1975"/>
      <c r="N7" s="1955"/>
      <c r="O7" s="1955"/>
      <c r="P7" s="1955"/>
      <c r="Q7" s="1955"/>
      <c r="R7" s="1955"/>
      <c r="S7" s="1888"/>
      <c r="T7" s="1888"/>
    </row>
    <row r="8" spans="1:20" ht="18" customHeight="1" x14ac:dyDescent="0.2">
      <c r="A8" s="1888"/>
      <c r="B8" s="2224" t="s">
        <v>1108</v>
      </c>
      <c r="C8" s="2310">
        <f>+'CO2 - Cálculos'!AE6</f>
        <v>0</v>
      </c>
      <c r="D8" s="2232"/>
      <c r="E8" s="2232"/>
      <c r="F8" s="1888"/>
      <c r="G8" s="1888"/>
      <c r="H8" s="1888"/>
      <c r="I8" s="1888"/>
      <c r="J8" s="1888"/>
      <c r="K8" s="1888"/>
      <c r="L8" s="2311"/>
      <c r="M8" s="2311"/>
      <c r="N8" s="2311"/>
      <c r="O8" s="2311"/>
      <c r="P8" s="2311"/>
      <c r="Q8" s="2311"/>
      <c r="R8" s="2311"/>
      <c r="S8" s="1888"/>
      <c r="T8" s="1888"/>
    </row>
    <row r="9" spans="1:20" ht="18" customHeight="1" x14ac:dyDescent="0.2">
      <c r="A9" s="1888"/>
      <c r="B9" s="2224" t="s">
        <v>1109</v>
      </c>
      <c r="C9" s="2310">
        <f>+'CO2 - Cálculos'!AE7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888"/>
      <c r="T9" s="1888"/>
    </row>
    <row r="10" spans="1:20" ht="18" customHeight="1" x14ac:dyDescent="0.2">
      <c r="A10" s="1888"/>
      <c r="B10" s="2224" t="s">
        <v>1110</v>
      </c>
      <c r="C10" s="2310">
        <f>+'CO2 - Cálculos'!AE8</f>
        <v>4336.2</v>
      </c>
      <c r="D10" s="2232"/>
      <c r="E10" s="2232"/>
      <c r="F10" s="1888"/>
      <c r="G10" s="1888"/>
      <c r="H10" s="1888"/>
      <c r="I10" s="1888"/>
      <c r="J10" s="1888"/>
      <c r="K10" s="1888"/>
      <c r="L10" s="2311"/>
      <c r="M10" s="2317"/>
      <c r="N10" s="2318"/>
      <c r="O10" s="2311"/>
      <c r="P10" s="2311"/>
      <c r="Q10" s="2318"/>
      <c r="R10" s="2317"/>
      <c r="S10" s="1888"/>
      <c r="T10" s="1888"/>
    </row>
    <row r="11" spans="1:20" ht="18" customHeight="1" x14ac:dyDescent="0.2">
      <c r="A11" s="1888"/>
      <c r="B11" s="2224" t="s">
        <v>50</v>
      </c>
      <c r="C11" s="2310">
        <f>+'CO2 - Cálculos'!AE9</f>
        <v>0</v>
      </c>
      <c r="D11" s="2232"/>
      <c r="E11" s="2232"/>
      <c r="F11" s="1888"/>
      <c r="G11" s="1888"/>
      <c r="H11" s="1888"/>
      <c r="I11" s="1888"/>
      <c r="J11" s="1888"/>
      <c r="K11" s="1888"/>
      <c r="L11" s="2311"/>
      <c r="M11" s="1864" t="str">
        <f t="shared" ref="M11:N18" si="0">+B7</f>
        <v>Resíduos de alimentos</v>
      </c>
      <c r="N11" s="2319">
        <f t="shared" si="0"/>
        <v>0</v>
      </c>
      <c r="O11" s="2320">
        <f t="shared" ref="O11:O18" si="1">+N11/$N$9</f>
        <v>0</v>
      </c>
      <c r="P11" s="2321">
        <f t="shared" ref="P11:P19" si="2">+Q11/$Q$9</f>
        <v>0</v>
      </c>
      <c r="Q11" s="2322">
        <f t="shared" ref="Q11:Q19" si="3">+C18</f>
        <v>0</v>
      </c>
      <c r="R11" s="2316" t="str">
        <f t="shared" ref="R11:R19" si="4">+B18</f>
        <v>Resíduos dispersos</v>
      </c>
      <c r="S11" s="1888"/>
      <c r="T11" s="1888"/>
    </row>
    <row r="12" spans="1:20" ht="18" customHeight="1" x14ac:dyDescent="0.2">
      <c r="A12" s="1888"/>
      <c r="B12" s="2224" t="s">
        <v>1111</v>
      </c>
      <c r="C12" s="2310">
        <f>+'CO2 - Cálculos'!AE10</f>
        <v>3190.1</v>
      </c>
      <c r="D12" s="2232"/>
      <c r="E12" s="2232"/>
      <c r="F12" s="1888"/>
      <c r="G12" s="1888"/>
      <c r="H12" s="1888"/>
      <c r="I12" s="1888"/>
      <c r="J12" s="1888"/>
      <c r="K12" s="1888"/>
      <c r="L12" s="2311"/>
      <c r="M12" s="1864" t="str">
        <f t="shared" si="0"/>
        <v>Resíduos de jardins e parques</v>
      </c>
      <c r="N12" s="2319">
        <f t="shared" si="0"/>
        <v>0</v>
      </c>
      <c r="O12" s="2320">
        <f t="shared" si="1"/>
        <v>0</v>
      </c>
      <c r="P12" s="2321">
        <f t="shared" si="2"/>
        <v>0</v>
      </c>
      <c r="Q12" s="2322">
        <f t="shared" si="3"/>
        <v>0</v>
      </c>
      <c r="R12" s="2316" t="str">
        <f t="shared" si="4"/>
        <v>Queima a céu aberto</v>
      </c>
      <c r="S12" s="1888"/>
      <c r="T12" s="1888"/>
    </row>
    <row r="13" spans="1:20" ht="18" customHeight="1" x14ac:dyDescent="0.2">
      <c r="A13" s="1888"/>
      <c r="B13" s="2224" t="s">
        <v>1112</v>
      </c>
      <c r="C13" s="2310">
        <f>+'CO2 - Cálculos'!AE11</f>
        <v>832.19999999999993</v>
      </c>
      <c r="D13" s="2232"/>
      <c r="E13" s="2232"/>
      <c r="F13" s="1888"/>
      <c r="G13" s="1888"/>
      <c r="H13" s="1888"/>
      <c r="I13" s="1888"/>
      <c r="J13" s="1888"/>
      <c r="K13" s="1888"/>
      <c r="L13" s="2311"/>
      <c r="M13" s="1864" t="str">
        <f t="shared" si="0"/>
        <v>Papel, papelão</v>
      </c>
      <c r="N13" s="2319">
        <f t="shared" si="0"/>
        <v>6368.9580000000005</v>
      </c>
      <c r="O13" s="2320">
        <f t="shared" si="1"/>
        <v>0.4324546707245745</v>
      </c>
      <c r="P13" s="2321">
        <f t="shared" si="2"/>
        <v>0</v>
      </c>
      <c r="Q13" s="2322">
        <f t="shared" si="3"/>
        <v>0</v>
      </c>
      <c r="R13" s="2316" t="str">
        <f t="shared" si="4"/>
        <v>Lixão não controlado</v>
      </c>
      <c r="S13" s="1888"/>
      <c r="T13" s="1888"/>
    </row>
    <row r="14" spans="1:20" ht="18" customHeight="1" x14ac:dyDescent="0.2">
      <c r="A14" s="1888"/>
      <c r="B14" s="2224" t="s">
        <v>1113</v>
      </c>
      <c r="C14" s="2310">
        <f>+'CO2 - Cálculos'!AE12</f>
        <v>0</v>
      </c>
      <c r="D14" s="2232"/>
      <c r="E14" s="2232"/>
      <c r="F14" s="1888"/>
      <c r="G14" s="1888"/>
      <c r="H14" s="1888"/>
      <c r="I14" s="1888"/>
      <c r="J14" s="1888"/>
      <c r="K14" s="1888"/>
      <c r="L14" s="2311"/>
      <c r="M14" s="1864" t="str">
        <f t="shared" si="0"/>
        <v>Plásticos</v>
      </c>
      <c r="N14" s="2319">
        <f t="shared" si="0"/>
        <v>4336.2</v>
      </c>
      <c r="O14" s="2320">
        <f t="shared" si="1"/>
        <v>0.29442962933589761</v>
      </c>
      <c r="P14" s="2321">
        <f t="shared" si="2"/>
        <v>0</v>
      </c>
      <c r="Q14" s="2322">
        <f t="shared" si="3"/>
        <v>0</v>
      </c>
      <c r="R14" s="2316" t="str">
        <f t="shared" si="4"/>
        <v>Aterro controlado</v>
      </c>
      <c r="S14" s="1888"/>
      <c r="T14" s="1888"/>
    </row>
    <row r="15" spans="1:20" ht="18" customHeight="1" x14ac:dyDescent="0.2">
      <c r="A15" s="1888"/>
      <c r="B15" s="1906"/>
      <c r="C15" s="2306"/>
      <c r="D15" s="2232"/>
      <c r="E15" s="2232"/>
      <c r="F15" s="1888"/>
      <c r="G15" s="1888"/>
      <c r="H15" s="1888"/>
      <c r="I15" s="1888"/>
      <c r="J15" s="1888"/>
      <c r="K15" s="1888"/>
      <c r="L15" s="2311"/>
      <c r="M15" s="1864" t="str">
        <f t="shared" si="0"/>
        <v>Vidros</v>
      </c>
      <c r="N15" s="2319">
        <f t="shared" si="0"/>
        <v>0</v>
      </c>
      <c r="O15" s="2320">
        <f t="shared" si="1"/>
        <v>0</v>
      </c>
      <c r="P15" s="2321">
        <f t="shared" si="2"/>
        <v>0.35</v>
      </c>
      <c r="Q15" s="2322">
        <f t="shared" si="3"/>
        <v>45945.389699999992</v>
      </c>
      <c r="R15" s="2316" t="str">
        <f t="shared" si="4"/>
        <v>Aterro sanitário</v>
      </c>
      <c r="S15" s="1888"/>
      <c r="T15" s="1888"/>
    </row>
    <row r="16" spans="1:20" ht="18" customHeight="1" x14ac:dyDescent="0.2">
      <c r="A16" s="1888"/>
      <c r="B16" s="1977" t="s">
        <v>1264</v>
      </c>
      <c r="C16" s="2305">
        <f>+'CO2 - Cálculos'!AE57</f>
        <v>131272.54199999999</v>
      </c>
      <c r="D16" s="2232"/>
      <c r="E16" s="2232"/>
      <c r="F16" s="1888"/>
      <c r="G16" s="1888"/>
      <c r="H16" s="1888"/>
      <c r="I16" s="1888"/>
      <c r="J16" s="1888"/>
      <c r="K16" s="1888"/>
      <c r="L16" s="2311"/>
      <c r="M16" s="1864" t="str">
        <f t="shared" si="0"/>
        <v>Metais ferrosos</v>
      </c>
      <c r="N16" s="2319">
        <f t="shared" si="0"/>
        <v>3190.1</v>
      </c>
      <c r="O16" s="2320">
        <f t="shared" si="1"/>
        <v>0.21660900340031525</v>
      </c>
      <c r="P16" s="2321">
        <f t="shared" si="2"/>
        <v>0</v>
      </c>
      <c r="Q16" s="2322">
        <f t="shared" si="3"/>
        <v>0</v>
      </c>
      <c r="R16" s="2316" t="str">
        <f t="shared" si="4"/>
        <v>Trat. biol + cobertura at.</v>
      </c>
      <c r="S16" s="1888"/>
      <c r="T16" s="1888"/>
    </row>
    <row r="17" spans="1:26" ht="18" customHeight="1" x14ac:dyDescent="0.2">
      <c r="A17" s="1888"/>
      <c r="B17" s="2308"/>
      <c r="C17" s="2309"/>
      <c r="D17" s="2232"/>
      <c r="E17" s="2232"/>
      <c r="F17" s="1888"/>
      <c r="G17" s="1888"/>
      <c r="H17" s="1888"/>
      <c r="I17" s="1888"/>
      <c r="J17" s="1888"/>
      <c r="K17" s="1888"/>
      <c r="L17" s="2311"/>
      <c r="M17" s="1864" t="str">
        <f t="shared" si="0"/>
        <v>Alumínio</v>
      </c>
      <c r="N17" s="2319">
        <f t="shared" si="0"/>
        <v>832.19999999999993</v>
      </c>
      <c r="O17" s="2320">
        <f t="shared" si="1"/>
        <v>5.650669653921267E-2</v>
      </c>
      <c r="P17" s="2321">
        <f t="shared" si="2"/>
        <v>0.125</v>
      </c>
      <c r="Q17" s="2322">
        <f t="shared" si="3"/>
        <v>16409.067749999998</v>
      </c>
      <c r="R17" s="2316" t="str">
        <f t="shared" si="4"/>
        <v>CDR seco + rejeito aterro</v>
      </c>
      <c r="S17" s="1888"/>
      <c r="T17" s="1888"/>
    </row>
    <row r="18" spans="1:26" ht="18" customHeight="1" x14ac:dyDescent="0.2">
      <c r="A18" s="1888"/>
      <c r="B18" s="2224" t="s">
        <v>1242</v>
      </c>
      <c r="C18" s="2310">
        <f>+'CO2 - Cálculos'!AE47</f>
        <v>0</v>
      </c>
      <c r="D18" s="2232"/>
      <c r="E18" s="2232"/>
      <c r="F18" s="1888"/>
      <c r="G18" s="1888"/>
      <c r="H18" s="1888"/>
      <c r="I18" s="1888"/>
      <c r="J18" s="1888"/>
      <c r="K18" s="1888"/>
      <c r="L18" s="2311"/>
      <c r="M18" s="1864" t="str">
        <f t="shared" si="0"/>
        <v>Têxteis</v>
      </c>
      <c r="N18" s="2319">
        <f t="shared" si="0"/>
        <v>0</v>
      </c>
      <c r="O18" s="2320">
        <f t="shared" si="1"/>
        <v>0</v>
      </c>
      <c r="P18" s="2321">
        <f t="shared" si="2"/>
        <v>0.52500000000000002</v>
      </c>
      <c r="Q18" s="2322">
        <f t="shared" si="3"/>
        <v>68918.08455</v>
      </c>
      <c r="R18" s="2316" t="str">
        <f t="shared" si="4"/>
        <v>CDR seco + trat. biol.</v>
      </c>
      <c r="S18" s="1888"/>
      <c r="T18" s="1888"/>
    </row>
    <row r="19" spans="1:26" ht="18" customHeight="1" x14ac:dyDescent="0.2">
      <c r="A19" s="1888"/>
      <c r="B19" s="2224" t="s">
        <v>1243</v>
      </c>
      <c r="C19" s="2310">
        <f>+'CO2 - Cálculos'!AE48</f>
        <v>0</v>
      </c>
      <c r="D19" s="2232"/>
      <c r="E19" s="2232"/>
      <c r="F19" s="1888"/>
      <c r="G19" s="1888"/>
      <c r="H19" s="1888"/>
      <c r="I19" s="1888"/>
      <c r="J19" s="1888"/>
      <c r="K19" s="1888"/>
      <c r="L19" s="2311"/>
      <c r="M19" s="2311"/>
      <c r="N19" s="2311"/>
      <c r="O19" s="2323"/>
      <c r="P19" s="2321">
        <f t="shared" si="2"/>
        <v>0</v>
      </c>
      <c r="Q19" s="2322">
        <f t="shared" si="3"/>
        <v>0</v>
      </c>
      <c r="R19" s="2316" t="str">
        <f t="shared" si="4"/>
        <v>CDR seco + CDR org.</v>
      </c>
      <c r="S19" s="1888"/>
      <c r="T19" s="1888"/>
    </row>
    <row r="20" spans="1:26" ht="18" customHeight="1" x14ac:dyDescent="0.2">
      <c r="A20" s="1888"/>
      <c r="B20" s="2224" t="s">
        <v>1244</v>
      </c>
      <c r="C20" s="2310">
        <f>+'CO2 - Cálculos'!AE49</f>
        <v>0</v>
      </c>
      <c r="D20" s="2232"/>
      <c r="E20" s="2232"/>
      <c r="F20" s="1888"/>
      <c r="G20" s="1888"/>
      <c r="H20" s="1888"/>
      <c r="I20" s="1888"/>
      <c r="J20" s="1888"/>
      <c r="K20" s="1888"/>
      <c r="L20" s="2311"/>
      <c r="M20" s="2311"/>
      <c r="N20" s="2311"/>
      <c r="O20" s="2311"/>
      <c r="P20" s="2321">
        <f>+Q20/$Q$9</f>
        <v>0</v>
      </c>
      <c r="Q20" s="2322">
        <f>+C27</f>
        <v>0</v>
      </c>
      <c r="R20" s="2316" t="str">
        <f>+B27</f>
        <v>Incineração</v>
      </c>
      <c r="S20" s="1888"/>
      <c r="T20" s="1888"/>
    </row>
    <row r="21" spans="1:26" ht="18" customHeight="1" x14ac:dyDescent="0.2">
      <c r="A21" s="1888"/>
      <c r="B21" s="2224" t="s">
        <v>1245</v>
      </c>
      <c r="C21" s="2310">
        <f>+'CO2 - Cálculos'!AE50</f>
        <v>0</v>
      </c>
      <c r="D21" s="2232"/>
      <c r="E21" s="2232"/>
      <c r="F21" s="1888"/>
      <c r="G21" s="1888"/>
      <c r="H21" s="1888"/>
      <c r="I21" s="1888"/>
      <c r="J21" s="1888"/>
      <c r="K21" s="1888"/>
      <c r="L21" s="1888"/>
      <c r="M21" s="1888"/>
      <c r="N21" s="1888"/>
      <c r="O21" s="1888"/>
      <c r="P21" s="1888"/>
      <c r="Q21" s="1888"/>
      <c r="R21" s="1888"/>
      <c r="S21" s="1888"/>
      <c r="T21" s="1888"/>
    </row>
    <row r="22" spans="1:26" ht="18" customHeight="1" x14ac:dyDescent="0.2">
      <c r="A22" s="1888"/>
      <c r="B22" s="2324" t="s">
        <v>64</v>
      </c>
      <c r="C22" s="2310">
        <f>+'CO2 - Cálculos'!AE51</f>
        <v>45945.389699999992</v>
      </c>
      <c r="D22" s="2232"/>
      <c r="E22" s="2232"/>
      <c r="F22" s="1888"/>
      <c r="G22" s="1888"/>
      <c r="H22" s="1888"/>
      <c r="I22" s="1888"/>
      <c r="J22" s="1888"/>
      <c r="K22" s="1888"/>
      <c r="L22" s="1888"/>
      <c r="M22" s="1888"/>
      <c r="N22" s="1888"/>
      <c r="O22" s="1888"/>
      <c r="P22" s="1888"/>
      <c r="Q22" s="1888"/>
      <c r="R22" s="1888"/>
      <c r="S22" s="1888"/>
      <c r="T22" s="1888"/>
    </row>
    <row r="23" spans="1:26" ht="18" customHeight="1" x14ac:dyDescent="0.2">
      <c r="A23" s="1888"/>
      <c r="B23" s="2325" t="s">
        <v>1246</v>
      </c>
      <c r="C23" s="2326">
        <f>+'CO2 - Cálculos'!AE52</f>
        <v>0</v>
      </c>
      <c r="D23" s="2232"/>
      <c r="E23" s="2232"/>
      <c r="F23" s="1888"/>
      <c r="G23" s="1888"/>
      <c r="H23" s="1888"/>
      <c r="I23" s="1888"/>
      <c r="J23" s="1888"/>
      <c r="K23" s="1888"/>
      <c r="L23" s="1888"/>
      <c r="M23" s="1888"/>
      <c r="N23" s="1888"/>
      <c r="O23" s="1888"/>
      <c r="P23" s="1888"/>
      <c r="Q23" s="1888"/>
      <c r="R23" s="1888"/>
      <c r="S23" s="1888"/>
      <c r="T23" s="1888"/>
    </row>
    <row r="24" spans="1:26" ht="18" customHeight="1" x14ac:dyDescent="0.2">
      <c r="A24" s="1888"/>
      <c r="B24" s="2325" t="s">
        <v>1247</v>
      </c>
      <c r="C24" s="2310">
        <f>+'CO2 - Cálculos'!AE53</f>
        <v>16409.067749999998</v>
      </c>
      <c r="D24" s="2232"/>
      <c r="E24" s="2232"/>
      <c r="F24" s="1888"/>
      <c r="G24" s="1888"/>
      <c r="H24" s="1888"/>
      <c r="I24" s="1888"/>
      <c r="J24" s="1888"/>
      <c r="K24" s="1888"/>
      <c r="L24" s="1888"/>
      <c r="M24" s="1888"/>
      <c r="N24" s="1888"/>
      <c r="O24" s="1888"/>
      <c r="P24" s="1888"/>
      <c r="Q24" s="1888"/>
      <c r="R24" s="1888"/>
      <c r="S24" s="1888"/>
      <c r="T24" s="1888"/>
    </row>
    <row r="25" spans="1:26" ht="18" customHeight="1" x14ac:dyDescent="0.2">
      <c r="A25" s="1888"/>
      <c r="B25" s="2325" t="s">
        <v>1248</v>
      </c>
      <c r="C25" s="2310">
        <f>+'CO2 - Cálculos'!AE54</f>
        <v>68918.08455</v>
      </c>
      <c r="D25" s="2232"/>
      <c r="E25" s="2232"/>
      <c r="F25" s="1888"/>
      <c r="G25" s="1888"/>
      <c r="H25" s="1888"/>
      <c r="I25" s="1888"/>
      <c r="J25" s="1888"/>
      <c r="K25" s="1888"/>
      <c r="L25" s="1888"/>
      <c r="M25" s="1888"/>
      <c r="N25" s="1888"/>
      <c r="O25" s="1888"/>
      <c r="P25" s="1888"/>
      <c r="Q25" s="1888"/>
      <c r="R25" s="1888"/>
      <c r="S25" s="1888"/>
      <c r="T25" s="1888"/>
    </row>
    <row r="26" spans="1:26" ht="18" customHeight="1" x14ac:dyDescent="0.2">
      <c r="A26" s="1888"/>
      <c r="B26" s="2325" t="s">
        <v>1249</v>
      </c>
      <c r="C26" s="2310">
        <f>+'CO2 - Cálculos'!AE55</f>
        <v>0</v>
      </c>
      <c r="D26" s="2232"/>
      <c r="E26" s="2232"/>
      <c r="F26" s="1888"/>
      <c r="G26" s="1888"/>
      <c r="H26" s="1888"/>
      <c r="I26" s="1888"/>
      <c r="J26" s="1888"/>
      <c r="K26" s="1888"/>
      <c r="L26" s="1888"/>
      <c r="M26" s="1888"/>
      <c r="N26" s="1888"/>
      <c r="O26" s="1888"/>
      <c r="P26" s="1888"/>
      <c r="Q26" s="1888"/>
      <c r="R26" s="1888"/>
      <c r="S26" s="1888"/>
      <c r="T26" s="1888"/>
    </row>
    <row r="27" spans="1:26" ht="18" customHeight="1" x14ac:dyDescent="0.2">
      <c r="A27" s="1888"/>
      <c r="B27" s="2224" t="s">
        <v>63</v>
      </c>
      <c r="C27" s="2310">
        <f>+'CO2 - Cálculos'!AE56</f>
        <v>0</v>
      </c>
      <c r="D27" s="2232"/>
      <c r="E27" s="2232"/>
      <c r="F27" s="1888"/>
      <c r="G27" s="1888"/>
      <c r="H27" s="1888"/>
      <c r="I27" s="1888"/>
      <c r="J27" s="1888"/>
      <c r="K27" s="1888"/>
      <c r="L27" s="1888"/>
      <c r="M27" s="1888"/>
      <c r="N27" s="1888"/>
      <c r="O27" s="1888"/>
      <c r="P27" s="1888"/>
      <c r="Q27" s="1888"/>
      <c r="R27" s="1888"/>
      <c r="S27" s="1888"/>
      <c r="T27" s="1888"/>
    </row>
    <row r="28" spans="1:26"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26" s="2227" customFormat="1" ht="26.1" customHeight="1" x14ac:dyDescent="0.2">
      <c r="A29" s="2061" t="s">
        <v>1265</v>
      </c>
      <c r="B29" s="2327"/>
      <c r="C29" s="2328"/>
      <c r="D29" s="2328"/>
      <c r="E29" s="2328"/>
      <c r="F29" s="2028"/>
      <c r="G29" s="2028"/>
      <c r="H29" s="2028"/>
      <c r="I29" s="2028"/>
      <c r="J29" s="2028"/>
      <c r="K29" s="2028"/>
      <c r="L29" s="2028"/>
      <c r="M29" s="2028"/>
      <c r="N29" s="2028"/>
      <c r="O29" s="2028"/>
      <c r="P29" s="2028"/>
      <c r="Q29" s="2028"/>
      <c r="R29" s="2028"/>
      <c r="S29" s="2028"/>
      <c r="T29" s="2028"/>
      <c r="U29" s="1843"/>
      <c r="V29" s="1843"/>
      <c r="W29" s="1843"/>
      <c r="X29" s="1843"/>
      <c r="Y29" s="1843"/>
      <c r="Z29" s="1843"/>
    </row>
    <row r="30" spans="1:26"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26" ht="18" customHeight="1" x14ac:dyDescent="0.2">
      <c r="A31" s="1888"/>
      <c r="B31" s="2329"/>
      <c r="C31" s="2330" t="s">
        <v>1251</v>
      </c>
      <c r="D31" s="2077" t="s">
        <v>1252</v>
      </c>
      <c r="E31" s="2077" t="s">
        <v>1253</v>
      </c>
      <c r="F31" s="2331"/>
      <c r="G31" s="2331"/>
      <c r="H31" s="2332"/>
      <c r="I31" s="2331"/>
      <c r="J31" s="2331"/>
      <c r="K31" s="2331"/>
      <c r="L31" s="1888"/>
      <c r="M31" s="1888"/>
      <c r="N31" s="1888"/>
      <c r="O31" s="1888"/>
      <c r="P31" s="1888"/>
      <c r="Q31" s="1888"/>
      <c r="R31" s="1888"/>
      <c r="S31" s="1888"/>
      <c r="T31" s="1888"/>
    </row>
    <row r="32" spans="1:26" ht="18" customHeight="1" x14ac:dyDescent="0.2">
      <c r="A32" s="1888"/>
      <c r="B32" s="2333" t="s">
        <v>1238</v>
      </c>
      <c r="C32" s="2334"/>
      <c r="D32" s="2335"/>
      <c r="E32" s="2335"/>
      <c r="F32" s="2331"/>
      <c r="G32" s="2331"/>
      <c r="H32" s="2331"/>
      <c r="I32" s="2331"/>
      <c r="J32" s="2331"/>
      <c r="K32" s="2331"/>
      <c r="L32" s="1888"/>
      <c r="M32" s="1888"/>
      <c r="N32" s="1888"/>
      <c r="O32" s="1888"/>
      <c r="P32" s="1888"/>
      <c r="Q32" s="1888"/>
      <c r="R32" s="1888"/>
      <c r="S32" s="1888"/>
      <c r="T32" s="1888"/>
    </row>
    <row r="33" spans="1:20" ht="18" customHeight="1" x14ac:dyDescent="0.2">
      <c r="A33" s="1888"/>
      <c r="B33" s="2336"/>
      <c r="C33" s="2335"/>
      <c r="D33" s="2335"/>
      <c r="E33" s="2335"/>
      <c r="F33" s="2331"/>
      <c r="G33" s="2331"/>
      <c r="H33" s="2331"/>
      <c r="I33" s="2331"/>
      <c r="J33" s="2331"/>
      <c r="K33" s="2331"/>
      <c r="L33" s="1888"/>
      <c r="M33" s="1888"/>
      <c r="N33" s="1888"/>
      <c r="O33" s="1888"/>
      <c r="P33" s="1888"/>
      <c r="Q33" s="1888"/>
      <c r="R33" s="1888"/>
      <c r="S33" s="1888"/>
      <c r="T33" s="1888"/>
    </row>
    <row r="34" spans="1:20" ht="18" customHeight="1" x14ac:dyDescent="0.2">
      <c r="A34" s="1888"/>
      <c r="B34" s="2224" t="str">
        <f>B7</f>
        <v>Resíduos de alimentos</v>
      </c>
      <c r="C34" s="2337">
        <f t="shared" ref="C34:C41" si="5">+C62</f>
        <v>0</v>
      </c>
      <c r="D34" s="2337">
        <f t="shared" ref="D34:D41" si="6">+C71</f>
        <v>0</v>
      </c>
      <c r="E34" s="2337">
        <f t="shared" ref="E34:E41" si="7">+D34+C34</f>
        <v>0</v>
      </c>
      <c r="F34" s="2331"/>
      <c r="G34" s="2331"/>
      <c r="H34" s="2331"/>
      <c r="I34" s="2331"/>
      <c r="J34" s="2331"/>
      <c r="K34" s="2331"/>
      <c r="L34" s="1888"/>
      <c r="M34" s="1888"/>
      <c r="N34" s="1888"/>
      <c r="O34" s="1888"/>
      <c r="P34" s="1888"/>
      <c r="Q34" s="1888"/>
      <c r="R34" s="1888"/>
      <c r="S34" s="1888"/>
      <c r="T34" s="1888"/>
    </row>
    <row r="35" spans="1:20" ht="18" customHeight="1" x14ac:dyDescent="0.2">
      <c r="A35" s="1888"/>
      <c r="B35" s="2224" t="str">
        <f t="shared" ref="B35:B41" si="8">B8</f>
        <v>Resíduos de jardins e parques</v>
      </c>
      <c r="C35" s="2337">
        <f t="shared" si="5"/>
        <v>0</v>
      </c>
      <c r="D35" s="2337">
        <f t="shared" si="6"/>
        <v>0</v>
      </c>
      <c r="E35" s="2337">
        <f t="shared" si="7"/>
        <v>0</v>
      </c>
      <c r="F35" s="2331"/>
      <c r="G35" s="2331"/>
      <c r="H35" s="2331"/>
      <c r="I35" s="2331"/>
      <c r="J35" s="2331"/>
      <c r="K35" s="2331"/>
      <c r="L35" s="1888"/>
      <c r="M35" s="1888"/>
      <c r="N35" s="1888"/>
      <c r="O35" s="1888"/>
      <c r="P35" s="1888"/>
      <c r="Q35" s="1888"/>
      <c r="R35" s="1888"/>
      <c r="S35" s="1888"/>
      <c r="T35" s="1888"/>
    </row>
    <row r="36" spans="1:20" ht="18" customHeight="1" x14ac:dyDescent="0.2">
      <c r="A36" s="1888"/>
      <c r="B36" s="2224" t="str">
        <f t="shared" si="8"/>
        <v>Papel, papelão</v>
      </c>
      <c r="C36" s="2337">
        <f t="shared" si="5"/>
        <v>7999.4112480000003</v>
      </c>
      <c r="D36" s="2337">
        <f t="shared" si="6"/>
        <v>-9859.1469840000009</v>
      </c>
      <c r="E36" s="2337">
        <f t="shared" si="7"/>
        <v>-1859.7357360000005</v>
      </c>
      <c r="F36" s="2331"/>
      <c r="G36" s="2331"/>
      <c r="H36" s="2331"/>
      <c r="I36" s="2331"/>
      <c r="J36" s="2331"/>
      <c r="K36" s="2331"/>
      <c r="L36" s="1888"/>
      <c r="M36" s="1888"/>
      <c r="N36" s="1888"/>
      <c r="O36" s="1888"/>
      <c r="P36" s="1888"/>
      <c r="Q36" s="1888"/>
      <c r="R36" s="1888"/>
      <c r="S36" s="1888"/>
      <c r="T36" s="1888"/>
    </row>
    <row r="37" spans="1:20" ht="18" customHeight="1" x14ac:dyDescent="0.2">
      <c r="A37" s="1888"/>
      <c r="B37" s="2224" t="str">
        <f t="shared" si="8"/>
        <v>Plásticos</v>
      </c>
      <c r="C37" s="2337">
        <f t="shared" si="5"/>
        <v>1777.8420000000001</v>
      </c>
      <c r="D37" s="2337">
        <f t="shared" si="6"/>
        <v>-8281.2747600000002</v>
      </c>
      <c r="E37" s="2337">
        <f t="shared" si="7"/>
        <v>-6503.4327599999997</v>
      </c>
      <c r="F37" s="2331"/>
      <c r="G37" s="2331"/>
      <c r="H37" s="2331"/>
      <c r="I37" s="2331"/>
      <c r="J37" s="2331"/>
      <c r="K37" s="2331"/>
      <c r="L37" s="1888"/>
      <c r="M37" s="1888"/>
      <c r="N37" s="1888"/>
      <c r="O37" s="1888"/>
      <c r="P37" s="1888"/>
      <c r="Q37" s="1888"/>
      <c r="R37" s="1888"/>
      <c r="S37" s="1888"/>
      <c r="T37" s="1888"/>
    </row>
    <row r="38" spans="1:20" ht="18" customHeight="1" x14ac:dyDescent="0.2">
      <c r="A38" s="1888"/>
      <c r="B38" s="2224" t="str">
        <f t="shared" si="8"/>
        <v>Vidros</v>
      </c>
      <c r="C38" s="2337">
        <f t="shared" si="5"/>
        <v>0</v>
      </c>
      <c r="D38" s="2337">
        <f t="shared" si="6"/>
        <v>0</v>
      </c>
      <c r="E38" s="2337">
        <f t="shared" si="7"/>
        <v>0</v>
      </c>
      <c r="F38" s="2331"/>
      <c r="G38" s="2331"/>
      <c r="H38" s="2331"/>
      <c r="I38" s="2331"/>
      <c r="J38" s="2331"/>
      <c r="K38" s="2331"/>
      <c r="L38" s="1888"/>
      <c r="M38" s="1888"/>
      <c r="N38" s="1888"/>
      <c r="O38" s="1888"/>
      <c r="P38" s="1888"/>
      <c r="Q38" s="1888"/>
      <c r="R38" s="1888"/>
      <c r="S38" s="1888"/>
      <c r="T38" s="1888"/>
    </row>
    <row r="39" spans="1:20" ht="18" customHeight="1" x14ac:dyDescent="0.2">
      <c r="A39" s="1888"/>
      <c r="B39" s="2224" t="str">
        <f t="shared" si="8"/>
        <v>Metais ferrosos</v>
      </c>
      <c r="C39" s="2337">
        <f t="shared" si="5"/>
        <v>204.16639999999998</v>
      </c>
      <c r="D39" s="2337">
        <f t="shared" si="6"/>
        <v>-5461.4512000000004</v>
      </c>
      <c r="E39" s="2337">
        <f t="shared" si="7"/>
        <v>-5257.2848000000004</v>
      </c>
      <c r="F39" s="2331"/>
      <c r="G39" s="2331"/>
      <c r="H39" s="2331"/>
      <c r="I39" s="2331"/>
      <c r="J39" s="2331"/>
      <c r="K39" s="2331"/>
      <c r="L39" s="1888"/>
      <c r="M39" s="1888"/>
      <c r="N39" s="1888"/>
      <c r="O39" s="1888"/>
      <c r="P39" s="1888"/>
      <c r="Q39" s="1888"/>
      <c r="R39" s="1888"/>
      <c r="S39" s="1888"/>
      <c r="T39" s="1888"/>
    </row>
    <row r="40" spans="1:20" ht="18" customHeight="1" x14ac:dyDescent="0.2">
      <c r="A40" s="1888"/>
      <c r="B40" s="2224" t="str">
        <f t="shared" si="8"/>
        <v>Alumínio</v>
      </c>
      <c r="C40" s="2337">
        <f t="shared" si="5"/>
        <v>580.04339999999991</v>
      </c>
      <c r="D40" s="2337">
        <f t="shared" si="6"/>
        <v>-8222.1359999999986</v>
      </c>
      <c r="E40" s="2337">
        <f t="shared" si="7"/>
        <v>-7642.092599999999</v>
      </c>
      <c r="F40" s="2331"/>
      <c r="G40" s="2331"/>
      <c r="H40" s="2331"/>
      <c r="I40" s="2331"/>
      <c r="J40" s="2331"/>
      <c r="K40" s="2331"/>
      <c r="L40" s="1888"/>
      <c r="M40" s="1888"/>
      <c r="N40" s="1888"/>
      <c r="O40" s="1888"/>
      <c r="P40" s="1888"/>
      <c r="Q40" s="1888"/>
      <c r="R40" s="1888"/>
      <c r="S40" s="1888"/>
      <c r="T40" s="1888"/>
    </row>
    <row r="41" spans="1:20" ht="18" customHeight="1" x14ac:dyDescent="0.2">
      <c r="A41" s="1888"/>
      <c r="B41" s="2224" t="str">
        <f t="shared" si="8"/>
        <v>Têxteis</v>
      </c>
      <c r="C41" s="2337">
        <f t="shared" si="5"/>
        <v>0</v>
      </c>
      <c r="D41" s="2337">
        <f t="shared" si="6"/>
        <v>0</v>
      </c>
      <c r="E41" s="2337">
        <f t="shared" si="7"/>
        <v>0</v>
      </c>
      <c r="F41" s="2331"/>
      <c r="G41" s="2331"/>
      <c r="H41" s="2331"/>
      <c r="I41" s="2331"/>
      <c r="J41" s="2331"/>
      <c r="K41" s="2331"/>
      <c r="L41" s="1888"/>
      <c r="M41" s="1888"/>
      <c r="N41" s="1888"/>
      <c r="O41" s="1888"/>
      <c r="P41" s="1888"/>
      <c r="Q41" s="1888"/>
      <c r="R41" s="1888"/>
      <c r="S41" s="1888"/>
      <c r="T41" s="1888"/>
    </row>
    <row r="42" spans="1:20" ht="18" customHeight="1" x14ac:dyDescent="0.2">
      <c r="A42" s="1888"/>
      <c r="B42" s="2338"/>
      <c r="C42" s="2339"/>
      <c r="D42" s="2340"/>
      <c r="E42" s="2339"/>
      <c r="F42" s="2331"/>
      <c r="G42" s="2331"/>
      <c r="H42" s="2331"/>
      <c r="I42" s="2331"/>
      <c r="J42" s="2331"/>
      <c r="K42" s="2331"/>
      <c r="L42" s="1888"/>
      <c r="M42" s="1888"/>
      <c r="N42" s="1888"/>
      <c r="O42" s="1888"/>
      <c r="P42" s="1888"/>
      <c r="Q42" s="1888"/>
      <c r="R42" s="1888"/>
      <c r="S42" s="1888"/>
      <c r="T42" s="1888"/>
    </row>
    <row r="43" spans="1:20" ht="18" customHeight="1" x14ac:dyDescent="0.2">
      <c r="A43" s="1888"/>
      <c r="B43" s="2341" t="s">
        <v>1264</v>
      </c>
      <c r="C43" s="2342"/>
      <c r="D43" s="2343"/>
      <c r="E43" s="2343"/>
      <c r="F43" s="2331"/>
      <c r="G43" s="2331"/>
      <c r="H43" s="2331"/>
      <c r="I43" s="2331"/>
      <c r="J43" s="2331"/>
      <c r="K43" s="2331"/>
      <c r="L43" s="1888"/>
      <c r="M43" s="1888"/>
      <c r="N43" s="1888"/>
      <c r="O43" s="1888"/>
      <c r="P43" s="1888"/>
      <c r="Q43" s="1888"/>
      <c r="R43" s="1888"/>
      <c r="S43" s="1888"/>
      <c r="T43" s="1888"/>
    </row>
    <row r="44" spans="1:20" ht="18" customHeight="1" x14ac:dyDescent="0.2">
      <c r="A44" s="1888"/>
      <c r="B44" s="2336"/>
      <c r="C44" s="2334"/>
      <c r="D44" s="2334"/>
      <c r="E44" s="2334"/>
      <c r="F44" s="2331"/>
      <c r="G44" s="2331"/>
      <c r="H44" s="2331"/>
      <c r="I44" s="2331"/>
      <c r="J44" s="2331"/>
      <c r="K44" s="2331"/>
      <c r="L44" s="1888"/>
      <c r="M44" s="1888"/>
      <c r="N44" s="1888"/>
      <c r="O44" s="1888"/>
      <c r="P44" s="1888"/>
      <c r="Q44" s="1888"/>
      <c r="R44" s="1888"/>
      <c r="S44" s="1888"/>
      <c r="T44" s="1888"/>
    </row>
    <row r="45" spans="1:20" ht="18" customHeight="1" x14ac:dyDescent="0.2">
      <c r="A45" s="1888"/>
      <c r="B45" s="2224" t="str">
        <f>B18</f>
        <v>Resíduos dispersos</v>
      </c>
      <c r="C45" s="2337">
        <f t="shared" ref="C45:C53" si="9">+L62</f>
        <v>0</v>
      </c>
      <c r="D45" s="2337">
        <f t="shared" ref="D45:D54" si="10">+L73</f>
        <v>0</v>
      </c>
      <c r="E45" s="2337">
        <f t="shared" ref="E45:E53" si="11">+D45+C45</f>
        <v>0</v>
      </c>
      <c r="F45" s="2331"/>
      <c r="G45" s="2331"/>
      <c r="H45" s="2331"/>
      <c r="I45" s="2331"/>
      <c r="J45" s="2331"/>
      <c r="K45" s="2331"/>
      <c r="L45" s="1888"/>
      <c r="M45" s="1888"/>
      <c r="N45" s="1888"/>
      <c r="O45" s="1888"/>
      <c r="P45" s="1888"/>
      <c r="Q45" s="1888"/>
      <c r="R45" s="1888"/>
      <c r="S45" s="1888"/>
      <c r="T45" s="1888"/>
    </row>
    <row r="46" spans="1:20" ht="18" customHeight="1" x14ac:dyDescent="0.2">
      <c r="A46" s="1888"/>
      <c r="B46" s="2224" t="str">
        <f t="shared" ref="B46:B54" si="12">B19</f>
        <v>Queima a céu aberto</v>
      </c>
      <c r="C46" s="2337">
        <f t="shared" si="9"/>
        <v>0</v>
      </c>
      <c r="D46" s="2337">
        <f t="shared" si="10"/>
        <v>0</v>
      </c>
      <c r="E46" s="2337">
        <f t="shared" si="11"/>
        <v>0</v>
      </c>
      <c r="F46" s="2331"/>
      <c r="G46" s="2331"/>
      <c r="H46" s="2331"/>
      <c r="I46" s="2331"/>
      <c r="J46" s="2331"/>
      <c r="K46" s="2331"/>
      <c r="L46" s="1888"/>
      <c r="M46" s="1888"/>
      <c r="N46" s="1888"/>
      <c r="O46" s="1888"/>
      <c r="P46" s="1888"/>
      <c r="Q46" s="1888"/>
      <c r="R46" s="1888"/>
      <c r="S46" s="1888"/>
      <c r="T46" s="1888"/>
    </row>
    <row r="47" spans="1:20" ht="18" customHeight="1" x14ac:dyDescent="0.2">
      <c r="A47" s="1888"/>
      <c r="B47" s="2224" t="str">
        <f t="shared" si="12"/>
        <v>Lixão não controlado</v>
      </c>
      <c r="C47" s="2337">
        <f t="shared" si="9"/>
        <v>0</v>
      </c>
      <c r="D47" s="2337">
        <f t="shared" si="10"/>
        <v>0</v>
      </c>
      <c r="E47" s="2337">
        <f t="shared" si="11"/>
        <v>0</v>
      </c>
      <c r="F47" s="2331"/>
      <c r="G47" s="2331"/>
      <c r="H47" s="2331"/>
      <c r="I47" s="2331"/>
      <c r="J47" s="2331"/>
      <c r="K47" s="2331"/>
      <c r="L47" s="1888"/>
      <c r="M47" s="1888"/>
      <c r="N47" s="1888"/>
      <c r="O47" s="1888"/>
      <c r="P47" s="1888"/>
      <c r="Q47" s="1888"/>
      <c r="R47" s="1888"/>
      <c r="S47" s="1888"/>
      <c r="T47" s="1888"/>
    </row>
    <row r="48" spans="1:20" ht="18" customHeight="1" x14ac:dyDescent="0.2">
      <c r="A48" s="1888"/>
      <c r="B48" s="2224" t="str">
        <f t="shared" si="12"/>
        <v>Aterro controlado</v>
      </c>
      <c r="C48" s="2337">
        <f t="shared" si="9"/>
        <v>0</v>
      </c>
      <c r="D48" s="2337">
        <f t="shared" si="10"/>
        <v>0</v>
      </c>
      <c r="E48" s="2337">
        <f t="shared" si="11"/>
        <v>0</v>
      </c>
      <c r="F48" s="2331"/>
      <c r="G48" s="2331"/>
      <c r="H48" s="2331"/>
      <c r="I48" s="2331"/>
      <c r="J48" s="2331"/>
      <c r="K48" s="2331"/>
      <c r="L48" s="1888"/>
      <c r="M48" s="1888"/>
      <c r="N48" s="1888"/>
      <c r="O48" s="1888"/>
      <c r="P48" s="1888"/>
      <c r="Q48" s="1888"/>
      <c r="R48" s="1888"/>
      <c r="S48" s="1888"/>
      <c r="T48" s="1888"/>
    </row>
    <row r="49" spans="1:21" ht="18" customHeight="1" x14ac:dyDescent="0.2">
      <c r="A49" s="1888"/>
      <c r="B49" s="2224" t="str">
        <f t="shared" si="12"/>
        <v>Aterro sanitário</v>
      </c>
      <c r="C49" s="2337">
        <f t="shared" si="9"/>
        <v>53980.946707938478</v>
      </c>
      <c r="D49" s="2337">
        <f t="shared" si="10"/>
        <v>0</v>
      </c>
      <c r="E49" s="2337">
        <f t="shared" si="11"/>
        <v>53980.946707938478</v>
      </c>
      <c r="F49" s="2331"/>
      <c r="G49" s="2331"/>
      <c r="H49" s="2331"/>
      <c r="I49" s="2331"/>
      <c r="J49" s="2331"/>
      <c r="K49" s="2331"/>
      <c r="L49" s="1888"/>
      <c r="M49" s="1888"/>
      <c r="N49" s="1888"/>
      <c r="O49" s="1888"/>
      <c r="P49" s="1888"/>
      <c r="Q49" s="1888"/>
      <c r="R49" s="1888"/>
      <c r="S49" s="1888"/>
      <c r="T49" s="1888"/>
    </row>
    <row r="50" spans="1:21" ht="18" customHeight="1" x14ac:dyDescent="0.2">
      <c r="A50" s="1888"/>
      <c r="B50" s="2224" t="str">
        <f t="shared" si="12"/>
        <v>Trat. biol + cobertura at.</v>
      </c>
      <c r="C50" s="2337">
        <f t="shared" si="9"/>
        <v>0</v>
      </c>
      <c r="D50" s="2337">
        <f t="shared" si="10"/>
        <v>0</v>
      </c>
      <c r="E50" s="2337">
        <f t="shared" si="11"/>
        <v>0</v>
      </c>
      <c r="F50" s="2331"/>
      <c r="G50" s="2331"/>
      <c r="H50" s="2331"/>
      <c r="I50" s="2331"/>
      <c r="J50" s="2331"/>
      <c r="K50" s="2331"/>
      <c r="L50" s="1888"/>
      <c r="M50" s="1888"/>
      <c r="N50" s="1888"/>
      <c r="O50" s="1888"/>
      <c r="P50" s="1888"/>
      <c r="Q50" s="1888"/>
      <c r="R50" s="1888"/>
      <c r="S50" s="1888"/>
      <c r="T50" s="1888"/>
    </row>
    <row r="51" spans="1:21" ht="18" customHeight="1" x14ac:dyDescent="0.2">
      <c r="A51" s="1888"/>
      <c r="B51" s="2224" t="str">
        <f t="shared" si="12"/>
        <v>CDR seco + rejeito aterro</v>
      </c>
      <c r="C51" s="2337">
        <f t="shared" si="9"/>
        <v>9878.871077030024</v>
      </c>
      <c r="D51" s="2337">
        <f t="shared" si="10"/>
        <v>-8213.3557915298534</v>
      </c>
      <c r="E51" s="2337">
        <f t="shared" si="11"/>
        <v>1665.5152855001706</v>
      </c>
      <c r="F51" s="2331"/>
      <c r="G51" s="2344"/>
      <c r="H51" s="2345"/>
      <c r="I51" s="2345"/>
      <c r="J51" s="2345"/>
      <c r="K51" s="2331"/>
      <c r="L51" s="1888"/>
      <c r="M51" s="1888"/>
      <c r="N51" s="1888"/>
      <c r="O51" s="1888"/>
      <c r="P51" s="1888"/>
      <c r="Q51" s="1888"/>
      <c r="R51" s="1888"/>
      <c r="S51" s="1888"/>
      <c r="T51" s="1888"/>
    </row>
    <row r="52" spans="1:21" ht="18" customHeight="1" x14ac:dyDescent="0.2">
      <c r="A52" s="1888"/>
      <c r="B52" s="2224" t="str">
        <f t="shared" si="12"/>
        <v>CDR seco + trat. biol.</v>
      </c>
      <c r="C52" s="2337">
        <f t="shared" si="9"/>
        <v>7289.5189941719445</v>
      </c>
      <c r="D52" s="2337">
        <f t="shared" si="10"/>
        <v>-34946.287241831815</v>
      </c>
      <c r="E52" s="2337">
        <f t="shared" si="11"/>
        <v>-27656.768247659871</v>
      </c>
      <c r="F52" s="2331"/>
      <c r="G52" s="2346"/>
      <c r="H52" s="2347" t="s">
        <v>1254</v>
      </c>
      <c r="I52" s="2348" t="s">
        <v>1266</v>
      </c>
      <c r="J52" s="2348" t="s">
        <v>1255</v>
      </c>
      <c r="K52" s="2331"/>
      <c r="L52" s="1888"/>
      <c r="M52" s="1888"/>
      <c r="N52" s="1888"/>
      <c r="O52" s="1888"/>
      <c r="P52" s="1888"/>
      <c r="Q52" s="1888"/>
      <c r="R52" s="1888"/>
      <c r="S52" s="1888"/>
      <c r="T52" s="1888"/>
    </row>
    <row r="53" spans="1:21" ht="18" customHeight="1" x14ac:dyDescent="0.2">
      <c r="A53" s="1888"/>
      <c r="B53" s="2224" t="str">
        <f t="shared" si="12"/>
        <v>CDR seco + CDR org.</v>
      </c>
      <c r="C53" s="2337">
        <f t="shared" si="9"/>
        <v>0</v>
      </c>
      <c r="D53" s="2337">
        <f t="shared" si="10"/>
        <v>0</v>
      </c>
      <c r="E53" s="2337">
        <f t="shared" si="11"/>
        <v>0</v>
      </c>
      <c r="F53" s="2331"/>
      <c r="G53" s="2349" t="s">
        <v>1256</v>
      </c>
      <c r="H53" s="2350">
        <f>SUM(C34:C41)</f>
        <v>10561.463048000001</v>
      </c>
      <c r="I53" s="2350">
        <f>SUM(C45:C54)</f>
        <v>71149.336779140445</v>
      </c>
      <c r="J53" s="2350">
        <f>+I53+H53</f>
        <v>81710.79982714045</v>
      </c>
      <c r="K53" s="2331"/>
      <c r="L53" s="1888"/>
      <c r="M53" s="1888"/>
      <c r="N53" s="1888"/>
      <c r="O53" s="1888"/>
      <c r="P53" s="1888"/>
      <c r="Q53" s="1888"/>
      <c r="R53" s="1888"/>
      <c r="S53" s="1888"/>
      <c r="T53" s="1888"/>
    </row>
    <row r="54" spans="1:21" ht="18" customHeight="1" x14ac:dyDescent="0.2">
      <c r="A54" s="1888"/>
      <c r="B54" s="2224" t="str">
        <f t="shared" si="12"/>
        <v>Incineração</v>
      </c>
      <c r="C54" s="2337">
        <f>+L71</f>
        <v>0</v>
      </c>
      <c r="D54" s="2337">
        <f t="shared" si="10"/>
        <v>0</v>
      </c>
      <c r="E54" s="2337">
        <f>+D54+C54</f>
        <v>0</v>
      </c>
      <c r="F54" s="2331"/>
      <c r="G54" s="2349" t="s">
        <v>1257</v>
      </c>
      <c r="H54" s="2350">
        <f>SUM(D34:D41)</f>
        <v>-31824.008943999997</v>
      </c>
      <c r="I54" s="2350">
        <f>SUM(D45:D54)</f>
        <v>-43159.643033361666</v>
      </c>
      <c r="J54" s="2350">
        <f>+I54+H54</f>
        <v>-74983.65197736166</v>
      </c>
      <c r="K54" s="2331"/>
      <c r="L54" s="1888"/>
      <c r="M54" s="1888"/>
      <c r="N54" s="1888"/>
      <c r="O54" s="1888"/>
      <c r="P54" s="1888"/>
      <c r="Q54" s="1888"/>
      <c r="R54" s="1888"/>
      <c r="S54" s="1888"/>
      <c r="T54" s="1888"/>
    </row>
    <row r="55" spans="1:21" ht="18" customHeight="1" x14ac:dyDescent="0.2">
      <c r="A55" s="1888"/>
      <c r="B55" s="2338"/>
      <c r="C55" s="2351"/>
      <c r="D55" s="2352"/>
      <c r="E55" s="2351"/>
      <c r="F55" s="2331"/>
      <c r="G55" s="2349" t="s">
        <v>1258</v>
      </c>
      <c r="H55" s="2350">
        <f>+H53+H54</f>
        <v>-21262.545895999996</v>
      </c>
      <c r="I55" s="2350">
        <f>+I53+I54</f>
        <v>27989.693745778779</v>
      </c>
      <c r="J55" s="2350">
        <f>+I55+H55</f>
        <v>6727.147849778783</v>
      </c>
      <c r="K55" s="2331"/>
      <c r="L55" s="1888"/>
      <c r="M55" s="1888"/>
      <c r="N55" s="1888"/>
      <c r="O55" s="1888"/>
      <c r="P55" s="1888"/>
      <c r="Q55" s="1888"/>
      <c r="R55" s="1888"/>
      <c r="S55" s="1888"/>
      <c r="T55" s="1888"/>
    </row>
    <row r="56" spans="1:21" ht="18" customHeight="1" x14ac:dyDescent="0.2">
      <c r="A56" s="1888"/>
      <c r="B56" s="2341" t="s">
        <v>52</v>
      </c>
      <c r="C56" s="2353">
        <f>SUM(C34:C54)</f>
        <v>81710.79982714045</v>
      </c>
      <c r="D56" s="2353">
        <f>SUM(D34:D54)</f>
        <v>-74983.651977361675</v>
      </c>
      <c r="E56" s="2353">
        <f>+D56+C56</f>
        <v>6727.1478497787757</v>
      </c>
      <c r="F56" s="2331"/>
      <c r="G56" s="2344"/>
      <c r="H56" s="2354"/>
      <c r="I56" s="2354"/>
      <c r="J56" s="2354"/>
      <c r="K56" s="2331"/>
      <c r="L56" s="1888"/>
      <c r="M56" s="1888"/>
      <c r="N56" s="1888"/>
      <c r="O56" s="1888"/>
      <c r="P56" s="1888"/>
      <c r="Q56" s="1888"/>
      <c r="R56" s="1888"/>
      <c r="S56" s="1888"/>
      <c r="T56" s="1888"/>
    </row>
    <row r="57" spans="1:21"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1"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1" s="2227" customFormat="1" ht="26.1" customHeight="1" x14ac:dyDescent="0.25">
      <c r="A59" s="2289" t="s">
        <v>1259</v>
      </c>
      <c r="B59" s="2355"/>
      <c r="C59" s="2355"/>
      <c r="D59" s="2355"/>
      <c r="E59" s="2355"/>
      <c r="F59" s="2226"/>
      <c r="G59" s="1938"/>
      <c r="H59" s="1983"/>
      <c r="I59" s="1983"/>
      <c r="J59" s="1983"/>
      <c r="K59" s="1910" t="s">
        <v>1267</v>
      </c>
      <c r="L59" s="1983"/>
      <c r="M59" s="1983"/>
      <c r="N59" s="1983"/>
      <c r="O59" s="1983"/>
      <c r="P59" s="1938"/>
      <c r="Q59" s="1938"/>
      <c r="R59" s="1938"/>
      <c r="S59" s="1938"/>
      <c r="T59" s="1938"/>
      <c r="U59" s="2356"/>
    </row>
    <row r="60" spans="1:21"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1" ht="18" customHeight="1" x14ac:dyDescent="0.25">
      <c r="A61" s="1888"/>
      <c r="B61" s="2292"/>
      <c r="C61" s="2357" t="s">
        <v>1238</v>
      </c>
      <c r="D61" s="2357" t="s">
        <v>1258</v>
      </c>
      <c r="E61" s="1888"/>
      <c r="F61" s="1888"/>
      <c r="G61" s="1888"/>
      <c r="H61" s="1888"/>
      <c r="I61" s="1888"/>
      <c r="J61" s="1888"/>
      <c r="K61" s="2358"/>
      <c r="L61" s="2359" t="s">
        <v>1266</v>
      </c>
      <c r="M61" s="2357" t="s">
        <v>1258</v>
      </c>
      <c r="N61" s="1888"/>
      <c r="O61" s="1888"/>
      <c r="P61" s="1888"/>
      <c r="Q61" s="1888"/>
      <c r="R61" s="1888"/>
      <c r="S61" s="1888"/>
      <c r="T61" s="1888"/>
    </row>
    <row r="62" spans="1:21" ht="18" customHeight="1" x14ac:dyDescent="0.25">
      <c r="A62" s="1888"/>
      <c r="B62" s="2301" t="str">
        <f>+'CO2 - Cálculos'!AC16</f>
        <v>Resíduos de alimentos</v>
      </c>
      <c r="C62" s="2240">
        <f>+'CO2 - Cálculos'!AE16</f>
        <v>0</v>
      </c>
      <c r="D62" s="2273"/>
      <c r="E62" s="1888"/>
      <c r="F62" s="1888"/>
      <c r="G62" s="1888"/>
      <c r="H62" s="1888"/>
      <c r="I62" s="1888"/>
      <c r="J62" s="1888"/>
      <c r="K62" s="2300" t="str">
        <f>+'CO2 - Cálculos'!AC61</f>
        <v>Resíduos dispersos</v>
      </c>
      <c r="L62" s="2240">
        <f>+'CO2 - Cálculos'!AE61</f>
        <v>0</v>
      </c>
      <c r="M62" s="2273"/>
      <c r="N62" s="1888"/>
      <c r="O62" s="1888"/>
      <c r="P62" s="1888"/>
      <c r="Q62" s="1888"/>
      <c r="R62" s="1888"/>
      <c r="S62" s="1888"/>
      <c r="T62" s="1888"/>
    </row>
    <row r="63" spans="1:21" ht="18" customHeight="1" x14ac:dyDescent="0.25">
      <c r="A63" s="1888"/>
      <c r="B63" s="2301" t="str">
        <f>+'CO2 - Cálculos'!AC17</f>
        <v>Resíduos de jardins e parques</v>
      </c>
      <c r="C63" s="2240">
        <f>+'CO2 - Cálculos'!AE17</f>
        <v>0</v>
      </c>
      <c r="D63" s="2273"/>
      <c r="E63" s="1888"/>
      <c r="F63" s="1888"/>
      <c r="G63" s="1888"/>
      <c r="H63" s="1888"/>
      <c r="I63" s="1888"/>
      <c r="J63" s="1888"/>
      <c r="K63" s="2300" t="str">
        <f>+'CO2 - Cálculos'!AC62</f>
        <v>Queima a céu aberto</v>
      </c>
      <c r="L63" s="2240">
        <f>+'CO2 - Cálculos'!AE62</f>
        <v>0</v>
      </c>
      <c r="M63" s="2273"/>
      <c r="N63" s="1888"/>
      <c r="O63" s="1888"/>
      <c r="P63" s="1888"/>
      <c r="Q63" s="1888"/>
      <c r="R63" s="1888"/>
      <c r="S63" s="1888"/>
      <c r="T63" s="1888"/>
    </row>
    <row r="64" spans="1:21" ht="18" customHeight="1" x14ac:dyDescent="0.25">
      <c r="A64" s="1888"/>
      <c r="B64" s="2301" t="str">
        <f>+'CO2 - Cálculos'!AC18</f>
        <v>Papel, papelão</v>
      </c>
      <c r="C64" s="2240">
        <f>+'CO2 - Cálculos'!AE18</f>
        <v>7999.4112480000003</v>
      </c>
      <c r="D64" s="2273"/>
      <c r="E64" s="1888"/>
      <c r="F64" s="1888"/>
      <c r="G64" s="1888"/>
      <c r="H64" s="1888"/>
      <c r="I64" s="1888"/>
      <c r="J64" s="1888"/>
      <c r="K64" s="2300" t="str">
        <f>+'CO2 - Cálculos'!AC63</f>
        <v>Lixão não controlado</v>
      </c>
      <c r="L64" s="2240">
        <f>+'CO2 - Cálculos'!AE63</f>
        <v>0</v>
      </c>
      <c r="M64" s="2273"/>
      <c r="N64" s="1888"/>
      <c r="O64" s="1888"/>
      <c r="P64" s="1888"/>
      <c r="Q64" s="1888"/>
      <c r="R64" s="1888"/>
      <c r="S64" s="1888"/>
      <c r="T64" s="1888"/>
    </row>
    <row r="65" spans="1:20" ht="18" customHeight="1" x14ac:dyDescent="0.25">
      <c r="A65" s="1888"/>
      <c r="B65" s="2301" t="str">
        <f>+'CO2 - Cálculos'!AC19</f>
        <v>Plásticos</v>
      </c>
      <c r="C65" s="2240">
        <f>+'CO2 - Cálculos'!AE19</f>
        <v>1777.8420000000001</v>
      </c>
      <c r="D65" s="2273"/>
      <c r="E65" s="1888"/>
      <c r="F65" s="1888"/>
      <c r="G65" s="1888"/>
      <c r="H65" s="1888"/>
      <c r="I65" s="1888"/>
      <c r="J65" s="1888"/>
      <c r="K65" s="2300" t="str">
        <f>+'CO2 - Cálculos'!AC64</f>
        <v>Aterro controlado</v>
      </c>
      <c r="L65" s="2240">
        <f>+'CO2 - Cálculos'!AE64</f>
        <v>0</v>
      </c>
      <c r="M65" s="2273"/>
      <c r="N65" s="1888"/>
      <c r="O65" s="1888"/>
      <c r="P65" s="1888"/>
      <c r="Q65" s="1888"/>
      <c r="R65" s="1888"/>
      <c r="S65" s="1888"/>
      <c r="T65" s="1888"/>
    </row>
    <row r="66" spans="1:20" ht="18" customHeight="1" x14ac:dyDescent="0.25">
      <c r="A66" s="1888"/>
      <c r="B66" s="2301" t="str">
        <f>+'CO2 - Cálculos'!AC20</f>
        <v>Vidros</v>
      </c>
      <c r="C66" s="2240">
        <f>+'CO2 - Cálculos'!AE20</f>
        <v>0</v>
      </c>
      <c r="D66" s="2273"/>
      <c r="E66" s="1888"/>
      <c r="F66" s="1888"/>
      <c r="G66" s="1888"/>
      <c r="H66" s="1888"/>
      <c r="I66" s="1888"/>
      <c r="J66" s="1888"/>
      <c r="K66" s="2300" t="str">
        <f>+'CO2 - Cálculos'!AC65</f>
        <v>Aterro sanitário</v>
      </c>
      <c r="L66" s="2240">
        <f>+'CO2 - Cálculos'!AE65</f>
        <v>53980.946707938478</v>
      </c>
      <c r="M66" s="2273"/>
      <c r="N66" s="1888"/>
      <c r="O66" s="1888"/>
      <c r="P66" s="1888"/>
      <c r="Q66" s="1888"/>
      <c r="R66" s="1888"/>
      <c r="S66" s="1888"/>
      <c r="T66" s="1888"/>
    </row>
    <row r="67" spans="1:20" ht="18" customHeight="1" x14ac:dyDescent="0.25">
      <c r="A67" s="1888"/>
      <c r="B67" s="2301" t="str">
        <f>+'CO2 - Cálculos'!AC21</f>
        <v>Metais ferrosos</v>
      </c>
      <c r="C67" s="2240">
        <f>+'CO2 - Cálculos'!AE21</f>
        <v>204.16639999999998</v>
      </c>
      <c r="D67" s="2273"/>
      <c r="E67" s="1888"/>
      <c r="F67" s="1888"/>
      <c r="G67" s="1888"/>
      <c r="H67" s="1888"/>
      <c r="I67" s="1888"/>
      <c r="J67" s="2360"/>
      <c r="K67" s="2300" t="str">
        <f>+'CO2 - Cálculos'!AC66</f>
        <v>Trat. biol + cobertura at.</v>
      </c>
      <c r="L67" s="2240">
        <f>+'CO2 - Cálculos'!AE66</f>
        <v>0</v>
      </c>
      <c r="M67" s="2273"/>
      <c r="N67" s="1888"/>
      <c r="O67" s="1888"/>
      <c r="P67" s="1888"/>
      <c r="Q67" s="1888"/>
      <c r="R67" s="1888"/>
      <c r="S67" s="1888"/>
      <c r="T67" s="1888"/>
    </row>
    <row r="68" spans="1:20" ht="18" customHeight="1" x14ac:dyDescent="0.25">
      <c r="A68" s="1888"/>
      <c r="B68" s="2301" t="str">
        <f>+'CO2 - Cálculos'!AC22</f>
        <v>Alumínio</v>
      </c>
      <c r="C68" s="2240">
        <f>+'CO2 - Cálculos'!AE22</f>
        <v>580.04339999999991</v>
      </c>
      <c r="D68" s="2273"/>
      <c r="E68" s="1888"/>
      <c r="F68" s="1888"/>
      <c r="G68" s="1888"/>
      <c r="H68" s="1888"/>
      <c r="I68" s="1888"/>
      <c r="J68" s="2360"/>
      <c r="K68" s="2300" t="str">
        <f>+'CO2 - Cálculos'!AC67</f>
        <v>CDR seco + rejeito aterro</v>
      </c>
      <c r="L68" s="2240">
        <f>+'CO2 - Cálculos'!AE67</f>
        <v>9878.871077030024</v>
      </c>
      <c r="M68" s="2273"/>
      <c r="N68" s="1888"/>
      <c r="O68" s="1888"/>
      <c r="P68" s="1888"/>
      <c r="Q68" s="1888"/>
      <c r="R68" s="1888"/>
      <c r="S68" s="1888"/>
      <c r="T68" s="1888"/>
    </row>
    <row r="69" spans="1:20" ht="18" customHeight="1" x14ac:dyDescent="0.25">
      <c r="A69" s="2232"/>
      <c r="B69" s="2301" t="str">
        <f>+'CO2 - Cálculos'!AC23</f>
        <v>Têxteis</v>
      </c>
      <c r="C69" s="2240">
        <f>+'CO2 - Cálculos'!AE23</f>
        <v>0</v>
      </c>
      <c r="D69" s="2273"/>
      <c r="E69" s="1888"/>
      <c r="F69" s="1888"/>
      <c r="G69" s="1888"/>
      <c r="H69" s="1888"/>
      <c r="I69" s="1888"/>
      <c r="J69" s="2360"/>
      <c r="K69" s="2300" t="str">
        <f>+'CO2 - Cálculos'!AC68</f>
        <v>CDR seco + trat. biol.</v>
      </c>
      <c r="L69" s="2240">
        <f>+'CO2 - Cálculos'!AE68</f>
        <v>7289.5189941719445</v>
      </c>
      <c r="M69" s="2273"/>
      <c r="N69" s="1888"/>
      <c r="O69" s="1888"/>
      <c r="P69" s="1888"/>
      <c r="Q69" s="1888"/>
      <c r="R69" s="1888"/>
      <c r="S69" s="1888"/>
      <c r="T69" s="1888"/>
    </row>
    <row r="70" spans="1:20" ht="18" customHeight="1" x14ac:dyDescent="0.25">
      <c r="A70" s="1888"/>
      <c r="B70" s="2361" t="s">
        <v>1256</v>
      </c>
      <c r="C70" s="2273"/>
      <c r="D70" s="2238"/>
      <c r="E70" s="1888"/>
      <c r="F70" s="1888"/>
      <c r="G70" s="1888"/>
      <c r="H70" s="1888"/>
      <c r="I70" s="1888"/>
      <c r="J70" s="1888"/>
      <c r="K70" s="2300" t="str">
        <f>+'CO2 - Cálculos'!AC69</f>
        <v>CDR seco + CDR org.</v>
      </c>
      <c r="L70" s="2240">
        <f>+'CO2 - Cálculos'!AE69</f>
        <v>0</v>
      </c>
      <c r="M70" s="2273"/>
      <c r="N70" s="1888"/>
      <c r="O70" s="1888"/>
      <c r="P70" s="1888"/>
      <c r="Q70" s="1888"/>
      <c r="R70" s="1888"/>
      <c r="S70" s="1888"/>
      <c r="T70" s="1888"/>
    </row>
    <row r="71" spans="1:20" ht="18" customHeight="1" x14ac:dyDescent="0.25">
      <c r="A71" s="1888"/>
      <c r="B71" s="2298" t="str">
        <f>+'CO2 - Cálculos'!AC25</f>
        <v>Resíduos de alimentos</v>
      </c>
      <c r="C71" s="2240">
        <f>+'CO2 - Cálculos'!AE25</f>
        <v>0</v>
      </c>
      <c r="D71" s="2273"/>
      <c r="E71" s="1888"/>
      <c r="F71" s="1888"/>
      <c r="G71" s="1888"/>
      <c r="H71" s="1888"/>
      <c r="I71" s="1888"/>
      <c r="J71" s="1888"/>
      <c r="K71" s="2300" t="str">
        <f>+'CO2 - Cálculos'!AC70</f>
        <v>Incineração</v>
      </c>
      <c r="L71" s="2240">
        <f>+'CO2 - Cálculos'!AE70</f>
        <v>0</v>
      </c>
      <c r="M71" s="2273"/>
      <c r="N71" s="1888"/>
      <c r="O71" s="1888"/>
      <c r="P71" s="1888"/>
      <c r="Q71" s="1888"/>
      <c r="R71" s="1888"/>
      <c r="S71" s="1888"/>
      <c r="T71" s="1888"/>
    </row>
    <row r="72" spans="1:20" ht="18" customHeight="1" x14ac:dyDescent="0.25">
      <c r="A72" s="1888"/>
      <c r="B72" s="2298" t="str">
        <f>+'CO2 - Cálculos'!AC26</f>
        <v>Resíduos de jardins e parques</v>
      </c>
      <c r="C72" s="2240">
        <f>+'CO2 - Cálculos'!AE26</f>
        <v>0</v>
      </c>
      <c r="D72" s="2273"/>
      <c r="E72" s="1888"/>
      <c r="F72" s="1888"/>
      <c r="G72" s="1888"/>
      <c r="H72" s="1888"/>
      <c r="I72" s="1888"/>
      <c r="J72" s="1888"/>
      <c r="K72" s="2362" t="s">
        <v>1256</v>
      </c>
      <c r="L72" s="2273"/>
      <c r="M72" s="2273"/>
      <c r="N72" s="1888"/>
      <c r="O72" s="1888"/>
      <c r="P72" s="1888"/>
      <c r="Q72" s="1888"/>
      <c r="R72" s="1888"/>
      <c r="S72" s="1888"/>
      <c r="T72" s="1888"/>
    </row>
    <row r="73" spans="1:20" ht="18" customHeight="1" x14ac:dyDescent="0.25">
      <c r="A73" s="1888"/>
      <c r="B73" s="2298" t="str">
        <f>+'CO2 - Cálculos'!AC27</f>
        <v>Papel, papelão</v>
      </c>
      <c r="C73" s="2240">
        <f>+'CO2 - Cálculos'!AE27</f>
        <v>-9859.1469840000009</v>
      </c>
      <c r="D73" s="2273"/>
      <c r="E73" s="1888"/>
      <c r="F73" s="1888"/>
      <c r="G73" s="1888"/>
      <c r="H73" s="1888"/>
      <c r="I73" s="1888"/>
      <c r="J73" s="1888"/>
      <c r="K73" s="2300" t="str">
        <f>+'CO2 - Cálculos'!AC72</f>
        <v>Resíduos dispersos</v>
      </c>
      <c r="L73" s="2240">
        <f>+'CO2 - Cálculos'!AE72</f>
        <v>0</v>
      </c>
      <c r="M73" s="2273"/>
      <c r="N73" s="1888"/>
      <c r="O73" s="1888"/>
      <c r="P73" s="1888"/>
      <c r="Q73" s="1888"/>
      <c r="R73" s="1888"/>
      <c r="S73" s="1888"/>
      <c r="T73" s="1888"/>
    </row>
    <row r="74" spans="1:20" ht="18" customHeight="1" x14ac:dyDescent="0.25">
      <c r="A74" s="1888"/>
      <c r="B74" s="2298" t="str">
        <f>+'CO2 - Cálculos'!AC28</f>
        <v>Plásticos</v>
      </c>
      <c r="C74" s="2240">
        <f>+'CO2 - Cálculos'!AE28</f>
        <v>-8281.2747600000002</v>
      </c>
      <c r="D74" s="2273"/>
      <c r="E74" s="1888"/>
      <c r="F74" s="1888"/>
      <c r="G74" s="1888"/>
      <c r="H74" s="1888"/>
      <c r="I74" s="1888"/>
      <c r="J74" s="1888"/>
      <c r="K74" s="2300" t="str">
        <f>+'CO2 - Cálculos'!AC73</f>
        <v>Queima a céu aberto</v>
      </c>
      <c r="L74" s="2240">
        <f>+'CO2 - Cálculos'!AE73</f>
        <v>0</v>
      </c>
      <c r="M74" s="2273"/>
      <c r="N74" s="1888"/>
      <c r="O74" s="1888"/>
      <c r="P74" s="1888"/>
      <c r="Q74" s="1888"/>
      <c r="R74" s="1888"/>
      <c r="S74" s="1888"/>
      <c r="T74" s="1888"/>
    </row>
    <row r="75" spans="1:20" ht="18" customHeight="1" x14ac:dyDescent="0.25">
      <c r="A75" s="1888"/>
      <c r="B75" s="2298" t="str">
        <f>+'CO2 - Cálculos'!AC29</f>
        <v>Vidros</v>
      </c>
      <c r="C75" s="2240">
        <f>+'CO2 - Cálculos'!AE29</f>
        <v>0</v>
      </c>
      <c r="D75" s="2273"/>
      <c r="E75" s="1888"/>
      <c r="F75" s="1888"/>
      <c r="G75" s="1888"/>
      <c r="H75" s="1888"/>
      <c r="I75" s="1888"/>
      <c r="J75" s="1888"/>
      <c r="K75" s="2300" t="str">
        <f>+'CO2 - Cálculos'!AC74</f>
        <v>Lixão não controlado</v>
      </c>
      <c r="L75" s="2240">
        <f>+'CO2 - Cálculos'!AE74</f>
        <v>0</v>
      </c>
      <c r="M75" s="2273"/>
      <c r="N75" s="1888"/>
      <c r="O75" s="1888"/>
      <c r="P75" s="1888"/>
      <c r="Q75" s="1888"/>
      <c r="R75" s="1888"/>
      <c r="S75" s="1888"/>
      <c r="T75" s="1888"/>
    </row>
    <row r="76" spans="1:20" ht="18" customHeight="1" x14ac:dyDescent="0.25">
      <c r="A76" s="1888"/>
      <c r="B76" s="2298" t="str">
        <f>+'CO2 - Cálculos'!AC30</f>
        <v>Metais ferrosos</v>
      </c>
      <c r="C76" s="2240">
        <f>+'CO2 - Cálculos'!AE30</f>
        <v>-5461.4512000000004</v>
      </c>
      <c r="D76" s="2273"/>
      <c r="E76" s="1888"/>
      <c r="F76" s="1888"/>
      <c r="G76" s="1888"/>
      <c r="H76" s="1888"/>
      <c r="I76" s="1888"/>
      <c r="J76" s="1888"/>
      <c r="K76" s="2300" t="str">
        <f>+'CO2 - Cálculos'!AC75</f>
        <v>Aterro controlado</v>
      </c>
      <c r="L76" s="2240">
        <f>+'CO2 - Cálculos'!AE75</f>
        <v>0</v>
      </c>
      <c r="M76" s="2273"/>
      <c r="N76" s="1888"/>
      <c r="O76" s="1888"/>
      <c r="P76" s="1888"/>
      <c r="Q76" s="1888"/>
      <c r="R76" s="1888"/>
      <c r="S76" s="1888"/>
      <c r="T76" s="1888"/>
    </row>
    <row r="77" spans="1:20" ht="18" customHeight="1" x14ac:dyDescent="0.25">
      <c r="A77" s="1888"/>
      <c r="B77" s="2298" t="str">
        <f>+'CO2 - Cálculos'!AC31</f>
        <v>Alumínio</v>
      </c>
      <c r="C77" s="2240">
        <f>+'CO2 - Cálculos'!AE31</f>
        <v>-8222.1359999999986</v>
      </c>
      <c r="D77" s="2273"/>
      <c r="E77" s="1888"/>
      <c r="F77" s="1888"/>
      <c r="G77" s="1888"/>
      <c r="H77" s="1888"/>
      <c r="I77" s="1888"/>
      <c r="J77" s="2360"/>
      <c r="K77" s="2300" t="str">
        <f>+'CO2 - Cálculos'!AC76</f>
        <v>Aterro sanitário</v>
      </c>
      <c r="L77" s="2240">
        <f>+'CO2 - Cálculos'!AE76</f>
        <v>0</v>
      </c>
      <c r="M77" s="2273"/>
      <c r="N77" s="1888"/>
      <c r="O77" s="1888"/>
      <c r="P77" s="1888"/>
      <c r="Q77" s="1888"/>
      <c r="R77" s="1888"/>
      <c r="S77" s="1888"/>
      <c r="T77" s="1888"/>
    </row>
    <row r="78" spans="1:20" ht="18" customHeight="1" x14ac:dyDescent="0.25">
      <c r="A78" s="1888"/>
      <c r="B78" s="2298" t="str">
        <f>+'CO2 - Cálculos'!AC32</f>
        <v>Têxteis</v>
      </c>
      <c r="C78" s="2240">
        <f>+'CO2 - Cálculos'!AE32</f>
        <v>0</v>
      </c>
      <c r="D78" s="2273"/>
      <c r="E78" s="1888"/>
      <c r="F78" s="1888"/>
      <c r="G78" s="1888"/>
      <c r="H78" s="1888"/>
      <c r="I78" s="1888"/>
      <c r="K78" s="2300" t="str">
        <f>+'CO2 - Cálculos'!AC77</f>
        <v>Trat. biol + cobertura at.</v>
      </c>
      <c r="L78" s="2240">
        <f>+'CO2 - Cálculos'!AE77</f>
        <v>0</v>
      </c>
      <c r="M78" s="2273"/>
      <c r="N78" s="1888"/>
      <c r="O78" s="1888"/>
      <c r="P78" s="1888"/>
      <c r="Q78" s="1888"/>
      <c r="R78" s="1888"/>
      <c r="S78" s="1888"/>
      <c r="T78" s="1888"/>
    </row>
    <row r="79" spans="1:20" ht="18" customHeight="1" x14ac:dyDescent="0.25">
      <c r="A79" s="1888"/>
      <c r="B79" s="2363" t="s">
        <v>1257</v>
      </c>
      <c r="C79" s="2273"/>
      <c r="D79" s="2238"/>
      <c r="E79" s="1888"/>
      <c r="F79" s="1888"/>
      <c r="G79" s="1888"/>
      <c r="H79" s="1888"/>
      <c r="I79" s="1888"/>
      <c r="J79" s="2360"/>
      <c r="K79" s="2300" t="str">
        <f>+'CO2 - Cálculos'!AC78</f>
        <v>CDR seco + rejeito aterro</v>
      </c>
      <c r="L79" s="2240">
        <f>+'CO2 - Cálculos'!AE78</f>
        <v>-8213.3557915298534</v>
      </c>
      <c r="M79" s="2273"/>
      <c r="N79" s="1888"/>
      <c r="O79" s="1888"/>
      <c r="P79" s="1888"/>
      <c r="Q79" s="1888"/>
      <c r="R79" s="1888"/>
      <c r="S79" s="1888"/>
      <c r="T79" s="1888"/>
    </row>
    <row r="80" spans="1:20" ht="18" customHeight="1" x14ac:dyDescent="0.25">
      <c r="A80" s="1888"/>
      <c r="B80" s="2363" t="s">
        <v>1258</v>
      </c>
      <c r="C80" s="2273"/>
      <c r="D80" s="2240">
        <f>SUM(C62:C69,C71:C78)</f>
        <v>-21262.545896</v>
      </c>
      <c r="E80" s="1888"/>
      <c r="F80" s="1888"/>
      <c r="G80" s="1888"/>
      <c r="H80" s="1888"/>
      <c r="I80" s="1888"/>
      <c r="J80" s="1888"/>
      <c r="K80" s="2300" t="str">
        <f>+'CO2 - Cálculos'!AC79</f>
        <v>CDR seco + trat. biol.</v>
      </c>
      <c r="L80" s="2240">
        <f>+'CO2 - Cálculos'!AE79</f>
        <v>-34946.287241831815</v>
      </c>
      <c r="M80" s="2273"/>
      <c r="N80" s="1888"/>
      <c r="O80" s="1888"/>
      <c r="P80" s="1888"/>
      <c r="Q80" s="1888"/>
      <c r="R80" s="1888"/>
      <c r="S80" s="1888"/>
      <c r="T80" s="1888"/>
    </row>
    <row r="81" spans="1:20" ht="14.25" x14ac:dyDescent="0.25">
      <c r="A81" s="1888"/>
      <c r="B81" s="1888"/>
      <c r="C81" s="1888"/>
      <c r="D81" s="1888"/>
      <c r="E81" s="1888"/>
      <c r="F81" s="1888"/>
      <c r="G81" s="1888"/>
      <c r="H81" s="1888"/>
      <c r="I81" s="1888"/>
      <c r="J81" s="1888"/>
      <c r="K81" s="2300" t="str">
        <f>+'CO2 - Cálculos'!AC80</f>
        <v>CDR seco + CDR org.</v>
      </c>
      <c r="L81" s="2240">
        <f>+'CO2 - Cálculos'!AE80</f>
        <v>0</v>
      </c>
      <c r="M81" s="2273"/>
      <c r="N81" s="1888"/>
      <c r="O81" s="1888"/>
      <c r="P81" s="1888"/>
      <c r="Q81" s="1888"/>
      <c r="R81" s="1888"/>
      <c r="S81" s="1888"/>
      <c r="T81" s="1888"/>
    </row>
    <row r="82" spans="1:20" ht="14.25" x14ac:dyDescent="0.25">
      <c r="A82" s="1888"/>
      <c r="B82" s="1888"/>
      <c r="C82" s="1888"/>
      <c r="D82" s="1888"/>
      <c r="E82" s="2265"/>
      <c r="F82" s="1888"/>
      <c r="G82" s="1888"/>
      <c r="H82" s="1888"/>
      <c r="I82" s="1888"/>
      <c r="J82" s="1888"/>
      <c r="K82" s="2300" t="str">
        <f>+'CO2 - Cálculos'!AC81</f>
        <v>Incineração</v>
      </c>
      <c r="L82" s="2240">
        <f>+'CO2 - Cálculos'!AE81</f>
        <v>0</v>
      </c>
      <c r="M82" s="2273"/>
      <c r="N82" s="1888"/>
      <c r="O82" s="1888"/>
      <c r="P82" s="1888"/>
      <c r="Q82" s="1888"/>
      <c r="R82" s="1888"/>
      <c r="S82" s="1888"/>
      <c r="T82" s="1888"/>
    </row>
    <row r="83" spans="1:20" ht="14.25" x14ac:dyDescent="0.25">
      <c r="A83" s="1888"/>
      <c r="B83" s="1888"/>
      <c r="C83" s="1888"/>
      <c r="D83" s="1888"/>
      <c r="E83" s="2265"/>
      <c r="F83" s="1888"/>
      <c r="G83" s="1888"/>
      <c r="H83" s="1888"/>
      <c r="I83" s="1888"/>
      <c r="J83" s="1888"/>
      <c r="K83" s="2302" t="s">
        <v>1257</v>
      </c>
      <c r="L83" s="2273"/>
      <c r="M83" s="2273"/>
      <c r="N83" s="1888"/>
      <c r="O83" s="1888"/>
      <c r="P83" s="1888"/>
      <c r="Q83" s="1888"/>
      <c r="R83" s="1888"/>
      <c r="S83" s="1888"/>
      <c r="T83" s="1888"/>
    </row>
    <row r="84" spans="1:20" ht="14.25" x14ac:dyDescent="0.25">
      <c r="A84" s="1888"/>
      <c r="B84" s="1888"/>
      <c r="C84" s="1888"/>
      <c r="D84" s="1888"/>
      <c r="E84" s="2265"/>
      <c r="F84" s="1888"/>
      <c r="G84" s="1888"/>
      <c r="H84" s="1888"/>
      <c r="I84" s="1888"/>
      <c r="J84" s="1888"/>
      <c r="K84" s="2302" t="s">
        <v>1258</v>
      </c>
      <c r="L84" s="2273"/>
      <c r="M84" s="2240">
        <f>SUM(L62:L71,L73:L82)</f>
        <v>27989.693745778779</v>
      </c>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B2F5E-C96C-4317-A356-5DBEC53259FF}">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 style="1844" customWidth="1"/>
    <col min="4" max="4" width="15.42578125" style="1844" bestFit="1" customWidth="1"/>
    <col min="5" max="5" width="16.140625" style="1844" customWidth="1"/>
    <col min="6" max="7" width="11.42578125" style="1844"/>
    <col min="8" max="8" width="17.7109375" style="1844" bestFit="1" customWidth="1"/>
    <col min="9" max="9" width="22.85546875" style="1844" bestFit="1" customWidth="1"/>
    <col min="10" max="10" width="12" style="1844" customWidth="1"/>
    <col min="11" max="11" width="34.42578125" style="1844" customWidth="1"/>
    <col min="12" max="12" width="19.5703125" style="1844" bestFit="1" customWidth="1"/>
    <col min="13" max="13" width="10.85546875" style="1844" customWidth="1"/>
    <col min="14" max="16384" width="11.42578125" style="1844"/>
  </cols>
  <sheetData>
    <row r="1" spans="1:20" s="2227" customFormat="1" ht="26.1" customHeight="1" x14ac:dyDescent="0.2">
      <c r="A1" s="1910" t="s">
        <v>1236</v>
      </c>
      <c r="B1" s="1983"/>
      <c r="C1" s="1983"/>
      <c r="D1" s="1983"/>
      <c r="E1" s="1983"/>
      <c r="F1" s="2303"/>
      <c r="G1" s="2303"/>
      <c r="H1" s="2303"/>
      <c r="I1" s="2303"/>
      <c r="J1" s="2303"/>
      <c r="K1" s="2226"/>
      <c r="L1" s="2226"/>
      <c r="M1" s="2226"/>
      <c r="N1" s="2226"/>
      <c r="O1" s="2226"/>
      <c r="P1" s="2226"/>
      <c r="Q1" s="2226"/>
      <c r="R1" s="2226"/>
      <c r="S1" s="2226"/>
      <c r="T1" s="2226"/>
    </row>
    <row r="2" spans="1:20" ht="14.25" customHeight="1" x14ac:dyDescent="0.25">
      <c r="A2" s="2228"/>
      <c r="B2" s="2229"/>
      <c r="C2" s="2028"/>
      <c r="D2" s="2028"/>
      <c r="E2" s="2028"/>
      <c r="F2" s="2028"/>
      <c r="G2" s="2028"/>
      <c r="H2" s="2028"/>
      <c r="I2" s="2028"/>
      <c r="J2" s="2028"/>
      <c r="K2" s="1888"/>
      <c r="L2" s="1888"/>
      <c r="M2" s="1888"/>
      <c r="N2" s="1888"/>
      <c r="O2" s="1888"/>
      <c r="P2" s="1888"/>
      <c r="Q2" s="1888"/>
      <c r="R2" s="1888"/>
      <c r="S2" s="1888"/>
      <c r="T2" s="1888"/>
    </row>
    <row r="3" spans="1:20" ht="18" customHeight="1" x14ac:dyDescent="0.2">
      <c r="A3" s="1888"/>
      <c r="B3" s="2304" t="s">
        <v>1237</v>
      </c>
      <c r="C3" s="2305">
        <f>+'CO2 - Cálculos'!AE58</f>
        <v>146000</v>
      </c>
      <c r="D3" s="2232"/>
      <c r="E3" s="2232"/>
      <c r="F3" s="1888"/>
      <c r="G3" s="1888"/>
      <c r="H3" s="1888"/>
      <c r="I3" s="1888"/>
      <c r="J3" s="1888"/>
      <c r="K3" s="1888"/>
      <c r="L3" s="1888"/>
      <c r="M3" s="1888"/>
      <c r="N3" s="1888"/>
      <c r="O3" s="1888"/>
      <c r="P3" s="1888"/>
      <c r="Q3" s="1888"/>
      <c r="R3" s="1888"/>
      <c r="S3" s="1888"/>
      <c r="T3" s="1888"/>
    </row>
    <row r="4" spans="1:20" ht="18" customHeight="1" x14ac:dyDescent="0.2">
      <c r="A4" s="1888"/>
      <c r="B4" s="1906"/>
      <c r="C4" s="2306"/>
      <c r="D4" s="2235"/>
      <c r="E4" s="2235"/>
      <c r="F4" s="1888"/>
      <c r="G4" s="1888"/>
      <c r="H4" s="1888"/>
      <c r="I4" s="1888"/>
      <c r="J4" s="1888"/>
      <c r="K4" s="1888"/>
      <c r="L4" s="1888"/>
      <c r="M4" s="2307"/>
      <c r="N4" s="2307"/>
      <c r="O4" s="2307"/>
      <c r="P4" s="2307"/>
      <c r="Q4" s="2307"/>
      <c r="R4" s="2307"/>
      <c r="S4" s="1888"/>
      <c r="T4" s="1888"/>
    </row>
    <row r="5" spans="1:20" ht="18" customHeight="1" x14ac:dyDescent="0.25">
      <c r="A5" s="1888"/>
      <c r="B5" s="2304" t="s">
        <v>1238</v>
      </c>
      <c r="C5" s="2305">
        <f>+'CO2 - Cálculos'!AE13</f>
        <v>14727.458000000001</v>
      </c>
      <c r="D5" s="2232"/>
      <c r="E5" s="2232"/>
      <c r="F5" s="1888"/>
      <c r="G5" s="1888"/>
      <c r="H5" s="1888"/>
      <c r="I5" s="1888"/>
      <c r="J5" s="1888"/>
      <c r="K5" s="1888"/>
      <c r="L5" s="1955"/>
      <c r="M5" s="1955"/>
      <c r="N5" s="1955"/>
      <c r="O5" s="2971" t="s">
        <v>1263</v>
      </c>
      <c r="P5" s="2972"/>
      <c r="Q5" s="1955"/>
      <c r="R5" s="1955"/>
      <c r="S5" s="1888"/>
      <c r="T5" s="1888"/>
    </row>
    <row r="6" spans="1:20" ht="18" customHeight="1" x14ac:dyDescent="0.25">
      <c r="A6" s="1888"/>
      <c r="B6" s="2308"/>
      <c r="C6" s="2309"/>
      <c r="D6" s="2232"/>
      <c r="E6" s="2232"/>
      <c r="F6" s="1888"/>
      <c r="G6" s="1888"/>
      <c r="H6" s="1888"/>
      <c r="I6" s="1888"/>
      <c r="J6" s="1888"/>
      <c r="K6" s="1888"/>
      <c r="L6" s="1955"/>
      <c r="M6" s="1955"/>
      <c r="N6" s="1955"/>
      <c r="O6" s="2973">
        <f>+C3</f>
        <v>146000</v>
      </c>
      <c r="P6" s="2974"/>
      <c r="Q6" s="1955"/>
      <c r="R6" s="1955"/>
      <c r="S6" s="1888"/>
      <c r="T6" s="1888"/>
    </row>
    <row r="7" spans="1:20" ht="18" customHeight="1" x14ac:dyDescent="0.25">
      <c r="A7" s="1888"/>
      <c r="B7" s="2224" t="s">
        <v>1107</v>
      </c>
      <c r="C7" s="2310">
        <f>+'CO2 - Cálculos'!AG5</f>
        <v>0</v>
      </c>
      <c r="D7" s="2232"/>
      <c r="E7" s="2232"/>
      <c r="F7" s="1888"/>
      <c r="G7" s="1888"/>
      <c r="H7" s="1888"/>
      <c r="I7" s="1888"/>
      <c r="J7" s="1888"/>
      <c r="K7" s="1888"/>
      <c r="L7" s="1955"/>
      <c r="M7" s="1975"/>
      <c r="N7" s="1955"/>
      <c r="O7" s="1955"/>
      <c r="P7" s="1955"/>
      <c r="Q7" s="1955"/>
      <c r="R7" s="1955"/>
      <c r="S7" s="1888"/>
      <c r="T7" s="1888"/>
    </row>
    <row r="8" spans="1:20" ht="18" customHeight="1" x14ac:dyDescent="0.2">
      <c r="A8" s="1888"/>
      <c r="B8" s="2224" t="s">
        <v>1108</v>
      </c>
      <c r="C8" s="2310">
        <f>+'CO2 - Cálculos'!AG6</f>
        <v>0</v>
      </c>
      <c r="D8" s="2232"/>
      <c r="E8" s="2232"/>
      <c r="F8" s="1888"/>
      <c r="G8" s="1888"/>
      <c r="H8" s="1888"/>
      <c r="I8" s="1888"/>
      <c r="J8" s="1888"/>
      <c r="K8" s="1888"/>
      <c r="L8" s="2311"/>
      <c r="M8" s="2311"/>
      <c r="N8" s="2311"/>
      <c r="O8" s="2311"/>
      <c r="P8" s="2311"/>
      <c r="Q8" s="2311"/>
      <c r="R8" s="2311"/>
      <c r="S8" s="1888"/>
      <c r="T8" s="1888"/>
    </row>
    <row r="9" spans="1:20" ht="18" customHeight="1" x14ac:dyDescent="0.2">
      <c r="A9" s="1888"/>
      <c r="B9" s="2224" t="s">
        <v>1109</v>
      </c>
      <c r="C9" s="2310">
        <f>+'CO2 - Cálculos'!AG7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888"/>
      <c r="T9" s="1888"/>
    </row>
    <row r="10" spans="1:20" ht="18" customHeight="1" x14ac:dyDescent="0.2">
      <c r="A10" s="1888"/>
      <c r="B10" s="2224" t="s">
        <v>1110</v>
      </c>
      <c r="C10" s="2310">
        <f>+'CO2 - Cálculos'!AG8</f>
        <v>4336.2</v>
      </c>
      <c r="D10" s="2232"/>
      <c r="E10" s="2232"/>
      <c r="F10" s="1888"/>
      <c r="G10" s="1888"/>
      <c r="H10" s="1888"/>
      <c r="I10" s="1888"/>
      <c r="J10" s="1888"/>
      <c r="K10" s="1888"/>
      <c r="L10" s="2311"/>
      <c r="M10" s="2317"/>
      <c r="N10" s="2318"/>
      <c r="O10" s="2311"/>
      <c r="P10" s="2311"/>
      <c r="Q10" s="2318"/>
      <c r="R10" s="2317"/>
      <c r="S10" s="1888"/>
      <c r="T10" s="1888"/>
    </row>
    <row r="11" spans="1:20" ht="18" customHeight="1" x14ac:dyDescent="0.2">
      <c r="A11" s="1888"/>
      <c r="B11" s="2224" t="s">
        <v>50</v>
      </c>
      <c r="C11" s="2310">
        <f>+'CO2 - Cálculos'!AG9</f>
        <v>0</v>
      </c>
      <c r="D11" s="2232"/>
      <c r="E11" s="2232"/>
      <c r="F11" s="1888"/>
      <c r="G11" s="1888"/>
      <c r="H11" s="1888"/>
      <c r="I11" s="1888"/>
      <c r="J11" s="1888"/>
      <c r="K11" s="1888"/>
      <c r="L11" s="2311"/>
      <c r="M11" s="1864" t="str">
        <f t="shared" ref="M11:N18" si="0">+B7</f>
        <v>Resíduos de alimentos</v>
      </c>
      <c r="N11" s="2319">
        <f t="shared" si="0"/>
        <v>0</v>
      </c>
      <c r="O11" s="2320">
        <f t="shared" ref="O11:O18" si="1">+N11/$N$9</f>
        <v>0</v>
      </c>
      <c r="P11" s="2321">
        <f t="shared" ref="P11:P19" si="2">+Q11/$Q$9</f>
        <v>0</v>
      </c>
      <c r="Q11" s="2322">
        <f t="shared" ref="Q11:Q19" si="3">+C18</f>
        <v>0</v>
      </c>
      <c r="R11" s="2316" t="str">
        <f t="shared" ref="R11:R19" si="4">+B18</f>
        <v>Resíduos dispersos</v>
      </c>
      <c r="S11" s="1888"/>
      <c r="T11" s="1888"/>
    </row>
    <row r="12" spans="1:20" ht="18" customHeight="1" x14ac:dyDescent="0.2">
      <c r="A12" s="1888"/>
      <c r="B12" s="2224" t="s">
        <v>1111</v>
      </c>
      <c r="C12" s="2310">
        <f>+'CO2 - Cálculos'!AG10</f>
        <v>3190.1</v>
      </c>
      <c r="D12" s="2232"/>
      <c r="E12" s="2232"/>
      <c r="F12" s="1888"/>
      <c r="G12" s="1888"/>
      <c r="H12" s="1888"/>
      <c r="I12" s="1888"/>
      <c r="J12" s="1888"/>
      <c r="K12" s="1888"/>
      <c r="L12" s="2311"/>
      <c r="M12" s="1864" t="str">
        <f t="shared" si="0"/>
        <v>Resíduos de jardins e parques</v>
      </c>
      <c r="N12" s="2319">
        <f t="shared" si="0"/>
        <v>0</v>
      </c>
      <c r="O12" s="2320">
        <f t="shared" si="1"/>
        <v>0</v>
      </c>
      <c r="P12" s="2321">
        <f t="shared" si="2"/>
        <v>0</v>
      </c>
      <c r="Q12" s="2322">
        <f t="shared" si="3"/>
        <v>0</v>
      </c>
      <c r="R12" s="2316" t="str">
        <f t="shared" si="4"/>
        <v>Queima a céu aberto</v>
      </c>
      <c r="S12" s="1888"/>
      <c r="T12" s="1888"/>
    </row>
    <row r="13" spans="1:20" ht="18" customHeight="1" x14ac:dyDescent="0.2">
      <c r="A13" s="1888"/>
      <c r="B13" s="2224" t="s">
        <v>1112</v>
      </c>
      <c r="C13" s="2310">
        <f>+'CO2 - Cálculos'!AG11</f>
        <v>832.19999999999993</v>
      </c>
      <c r="D13" s="2232"/>
      <c r="E13" s="2232"/>
      <c r="F13" s="1888"/>
      <c r="G13" s="1888"/>
      <c r="H13" s="1888"/>
      <c r="I13" s="1888"/>
      <c r="J13" s="1888"/>
      <c r="K13" s="1888"/>
      <c r="L13" s="2311"/>
      <c r="M13" s="1864" t="str">
        <f t="shared" si="0"/>
        <v>Papel, papelão</v>
      </c>
      <c r="N13" s="2319">
        <f t="shared" si="0"/>
        <v>6368.9580000000005</v>
      </c>
      <c r="O13" s="2320">
        <f t="shared" si="1"/>
        <v>0.4324546707245745</v>
      </c>
      <c r="P13" s="2321">
        <f t="shared" si="2"/>
        <v>0</v>
      </c>
      <c r="Q13" s="2322">
        <f t="shared" si="3"/>
        <v>0</v>
      </c>
      <c r="R13" s="2316" t="str">
        <f t="shared" si="4"/>
        <v>Lixão não controlado</v>
      </c>
      <c r="S13" s="1888"/>
      <c r="T13" s="1888"/>
    </row>
    <row r="14" spans="1:20" ht="18" customHeight="1" x14ac:dyDescent="0.2">
      <c r="A14" s="1888"/>
      <c r="B14" s="2224" t="s">
        <v>1113</v>
      </c>
      <c r="C14" s="2310">
        <f>+'CO2 - Cálculos'!AG12</f>
        <v>0</v>
      </c>
      <c r="D14" s="2232"/>
      <c r="E14" s="2232"/>
      <c r="F14" s="1888"/>
      <c r="G14" s="1888"/>
      <c r="H14" s="1888"/>
      <c r="I14" s="1888"/>
      <c r="J14" s="1888"/>
      <c r="K14" s="1888"/>
      <c r="L14" s="2311"/>
      <c r="M14" s="1864" t="str">
        <f t="shared" si="0"/>
        <v>Plásticos</v>
      </c>
      <c r="N14" s="2319">
        <f t="shared" si="0"/>
        <v>4336.2</v>
      </c>
      <c r="O14" s="2320">
        <f t="shared" si="1"/>
        <v>0.29442962933589761</v>
      </c>
      <c r="P14" s="2321">
        <f t="shared" si="2"/>
        <v>0</v>
      </c>
      <c r="Q14" s="2322">
        <f t="shared" si="3"/>
        <v>0</v>
      </c>
      <c r="R14" s="2316" t="str">
        <f t="shared" si="4"/>
        <v>Aterro controlado</v>
      </c>
      <c r="S14" s="1888"/>
      <c r="T14" s="1888"/>
    </row>
    <row r="15" spans="1:20" ht="18" customHeight="1" x14ac:dyDescent="0.2">
      <c r="A15" s="1888"/>
      <c r="B15" s="1906"/>
      <c r="C15" s="2306"/>
      <c r="D15" s="2232"/>
      <c r="E15" s="2232"/>
      <c r="F15" s="1888"/>
      <c r="G15" s="1888"/>
      <c r="H15" s="1888"/>
      <c r="I15" s="1888"/>
      <c r="J15" s="1888"/>
      <c r="K15" s="1888"/>
      <c r="L15" s="2311"/>
      <c r="M15" s="1864" t="str">
        <f t="shared" si="0"/>
        <v>Vidros</v>
      </c>
      <c r="N15" s="2319">
        <f t="shared" si="0"/>
        <v>0</v>
      </c>
      <c r="O15" s="2320">
        <f t="shared" si="1"/>
        <v>0</v>
      </c>
      <c r="P15" s="2321">
        <f t="shared" si="2"/>
        <v>0.35</v>
      </c>
      <c r="Q15" s="2322">
        <f t="shared" si="3"/>
        <v>45945.389699999992</v>
      </c>
      <c r="R15" s="2316" t="str">
        <f t="shared" si="4"/>
        <v>Aterro sanitário</v>
      </c>
      <c r="S15" s="1888"/>
      <c r="T15" s="1888"/>
    </row>
    <row r="16" spans="1:20" ht="18" customHeight="1" x14ac:dyDescent="0.2">
      <c r="A16" s="1888"/>
      <c r="B16" s="1977" t="s">
        <v>1264</v>
      </c>
      <c r="C16" s="2305">
        <f>+'CO2 - Cálculos'!AE57</f>
        <v>131272.54199999999</v>
      </c>
      <c r="D16" s="2232"/>
      <c r="E16" s="2232"/>
      <c r="F16" s="1888"/>
      <c r="G16" s="1888"/>
      <c r="H16" s="1888"/>
      <c r="I16" s="1888"/>
      <c r="J16" s="1888"/>
      <c r="K16" s="1888"/>
      <c r="L16" s="2311"/>
      <c r="M16" s="1864" t="str">
        <f t="shared" si="0"/>
        <v>Metais ferrosos</v>
      </c>
      <c r="N16" s="2319">
        <f t="shared" si="0"/>
        <v>3190.1</v>
      </c>
      <c r="O16" s="2320">
        <f t="shared" si="1"/>
        <v>0.21660900340031525</v>
      </c>
      <c r="P16" s="2321">
        <f t="shared" si="2"/>
        <v>0</v>
      </c>
      <c r="Q16" s="2322">
        <f t="shared" si="3"/>
        <v>0</v>
      </c>
      <c r="R16" s="2316" t="str">
        <f t="shared" si="4"/>
        <v>Trat. biol + cobertura at.</v>
      </c>
      <c r="S16" s="1888"/>
      <c r="T16" s="1888"/>
    </row>
    <row r="17" spans="1:26" ht="18" customHeight="1" x14ac:dyDescent="0.2">
      <c r="A17" s="1888"/>
      <c r="B17" s="2308"/>
      <c r="C17" s="2309"/>
      <c r="D17" s="2232"/>
      <c r="E17" s="2232"/>
      <c r="F17" s="1888"/>
      <c r="G17" s="1888"/>
      <c r="H17" s="1888"/>
      <c r="I17" s="1888"/>
      <c r="J17" s="1888"/>
      <c r="K17" s="1888"/>
      <c r="L17" s="2311"/>
      <c r="M17" s="1864" t="str">
        <f t="shared" si="0"/>
        <v>Alumínio</v>
      </c>
      <c r="N17" s="2319">
        <f t="shared" si="0"/>
        <v>832.19999999999993</v>
      </c>
      <c r="O17" s="2320">
        <f t="shared" si="1"/>
        <v>5.650669653921267E-2</v>
      </c>
      <c r="P17" s="2321">
        <f t="shared" si="2"/>
        <v>0.125</v>
      </c>
      <c r="Q17" s="2322">
        <f t="shared" si="3"/>
        <v>16409.067749999998</v>
      </c>
      <c r="R17" s="2316" t="str">
        <f t="shared" si="4"/>
        <v>CDR seco + rejeito aterro</v>
      </c>
      <c r="S17" s="1888"/>
      <c r="T17" s="1888"/>
    </row>
    <row r="18" spans="1:26" ht="18" customHeight="1" x14ac:dyDescent="0.2">
      <c r="A18" s="1888"/>
      <c r="B18" s="2224" t="s">
        <v>1242</v>
      </c>
      <c r="C18" s="2310">
        <f>+'CO2 - Cálculos'!AG47</f>
        <v>0</v>
      </c>
      <c r="D18" s="2232"/>
      <c r="E18" s="2232"/>
      <c r="F18" s="1888"/>
      <c r="G18" s="1888"/>
      <c r="H18" s="1888"/>
      <c r="I18" s="1888"/>
      <c r="J18" s="1888"/>
      <c r="K18" s="1888"/>
      <c r="L18" s="2311"/>
      <c r="M18" s="1864" t="str">
        <f t="shared" si="0"/>
        <v>Têxteis</v>
      </c>
      <c r="N18" s="2319">
        <f t="shared" si="0"/>
        <v>0</v>
      </c>
      <c r="O18" s="2320">
        <f t="shared" si="1"/>
        <v>0</v>
      </c>
      <c r="P18" s="2321">
        <f t="shared" si="2"/>
        <v>0.52500000000000002</v>
      </c>
      <c r="Q18" s="2322">
        <f t="shared" si="3"/>
        <v>68918.08455</v>
      </c>
      <c r="R18" s="2316" t="str">
        <f t="shared" si="4"/>
        <v>CDR seco + trat. biol.</v>
      </c>
      <c r="S18" s="1888"/>
      <c r="T18" s="1888"/>
    </row>
    <row r="19" spans="1:26" ht="18" customHeight="1" x14ac:dyDescent="0.2">
      <c r="A19" s="1888"/>
      <c r="B19" s="2224" t="s">
        <v>1243</v>
      </c>
      <c r="C19" s="2310">
        <f>+'CO2 - Cálculos'!AG48</f>
        <v>0</v>
      </c>
      <c r="D19" s="2232"/>
      <c r="E19" s="2232"/>
      <c r="F19" s="1888"/>
      <c r="G19" s="1888"/>
      <c r="H19" s="1888"/>
      <c r="I19" s="1888"/>
      <c r="J19" s="1888"/>
      <c r="K19" s="1888"/>
      <c r="L19" s="2311"/>
      <c r="M19" s="2311"/>
      <c r="N19" s="2311"/>
      <c r="O19" s="2323"/>
      <c r="P19" s="2321">
        <f t="shared" si="2"/>
        <v>0</v>
      </c>
      <c r="Q19" s="2322">
        <f t="shared" si="3"/>
        <v>0</v>
      </c>
      <c r="R19" s="2316" t="str">
        <f t="shared" si="4"/>
        <v>CDR seco + CDR org.</v>
      </c>
      <c r="S19" s="1888"/>
      <c r="T19" s="1888"/>
    </row>
    <row r="20" spans="1:26" ht="18" customHeight="1" x14ac:dyDescent="0.2">
      <c r="A20" s="1888"/>
      <c r="B20" s="2224" t="s">
        <v>1244</v>
      </c>
      <c r="C20" s="2310">
        <f>+'CO2 - Cálculos'!AG49</f>
        <v>0</v>
      </c>
      <c r="D20" s="2232"/>
      <c r="E20" s="2232"/>
      <c r="F20" s="1888"/>
      <c r="G20" s="1888"/>
      <c r="H20" s="1888"/>
      <c r="I20" s="1888"/>
      <c r="J20" s="1888"/>
      <c r="K20" s="1888"/>
      <c r="L20" s="2311"/>
      <c r="M20" s="2311"/>
      <c r="N20" s="2311"/>
      <c r="O20" s="2311"/>
      <c r="P20" s="2321">
        <f>+Q20/$Q$9</f>
        <v>0</v>
      </c>
      <c r="Q20" s="2322">
        <f>+C27</f>
        <v>0</v>
      </c>
      <c r="R20" s="2316" t="str">
        <f>+B27</f>
        <v>Incineração</v>
      </c>
      <c r="S20" s="1888"/>
      <c r="T20" s="1888"/>
    </row>
    <row r="21" spans="1:26" ht="18" customHeight="1" x14ac:dyDescent="0.2">
      <c r="A21" s="1888"/>
      <c r="B21" s="2224" t="s">
        <v>1245</v>
      </c>
      <c r="C21" s="2310">
        <f>+'CO2 - Cálculos'!AG50</f>
        <v>0</v>
      </c>
      <c r="D21" s="2232"/>
      <c r="E21" s="2232"/>
      <c r="F21" s="1888"/>
      <c r="G21" s="1888"/>
      <c r="H21" s="1888"/>
      <c r="I21" s="1888"/>
      <c r="J21" s="1888"/>
      <c r="K21" s="1888"/>
      <c r="L21" s="1888"/>
      <c r="M21" s="1888"/>
      <c r="N21" s="1888"/>
      <c r="O21" s="1888"/>
      <c r="P21" s="1888"/>
      <c r="Q21" s="1888"/>
      <c r="R21" s="1888"/>
      <c r="S21" s="1888"/>
      <c r="T21" s="1888"/>
    </row>
    <row r="22" spans="1:26" ht="18" customHeight="1" x14ac:dyDescent="0.2">
      <c r="A22" s="1888"/>
      <c r="B22" s="2324" t="s">
        <v>64</v>
      </c>
      <c r="C22" s="2310">
        <f>+'CO2 - Cálculos'!AG51</f>
        <v>45945.389699999992</v>
      </c>
      <c r="D22" s="2232"/>
      <c r="E22" s="2232"/>
      <c r="F22" s="1888"/>
      <c r="G22" s="1888"/>
      <c r="H22" s="1888"/>
      <c r="I22" s="1888"/>
      <c r="J22" s="1888"/>
      <c r="K22" s="1888"/>
      <c r="L22" s="1888"/>
      <c r="M22" s="1888"/>
      <c r="N22" s="1888"/>
      <c r="O22" s="1888"/>
      <c r="P22" s="1888"/>
      <c r="Q22" s="1888"/>
      <c r="R22" s="1888"/>
      <c r="S22" s="1888"/>
      <c r="T22" s="1888"/>
    </row>
    <row r="23" spans="1:26" ht="18" customHeight="1" x14ac:dyDescent="0.2">
      <c r="A23" s="1888"/>
      <c r="B23" s="2325" t="s">
        <v>1246</v>
      </c>
      <c r="C23" s="2326">
        <f>+'CO2 - Cálculos'!AG52</f>
        <v>0</v>
      </c>
      <c r="D23" s="2232"/>
      <c r="E23" s="2232"/>
      <c r="F23" s="1888"/>
      <c r="G23" s="1888"/>
      <c r="H23" s="1888"/>
      <c r="I23" s="1888"/>
      <c r="J23" s="1888"/>
      <c r="K23" s="1888"/>
      <c r="L23" s="1888"/>
      <c r="M23" s="1888"/>
      <c r="N23" s="1888"/>
      <c r="O23" s="1888"/>
      <c r="P23" s="1888"/>
      <c r="Q23" s="1888"/>
      <c r="R23" s="1888"/>
      <c r="S23" s="1888"/>
      <c r="T23" s="1888"/>
    </row>
    <row r="24" spans="1:26" ht="18" customHeight="1" x14ac:dyDescent="0.2">
      <c r="A24" s="1888"/>
      <c r="B24" s="2325" t="s">
        <v>1247</v>
      </c>
      <c r="C24" s="2310">
        <f>+'CO2 - Cálculos'!AG53</f>
        <v>16409.067749999998</v>
      </c>
      <c r="D24" s="2232"/>
      <c r="E24" s="2232"/>
      <c r="F24" s="1888"/>
      <c r="G24" s="1888"/>
      <c r="H24" s="1888"/>
      <c r="I24" s="1888"/>
      <c r="J24" s="1888"/>
      <c r="K24" s="1888"/>
      <c r="L24" s="1888"/>
      <c r="M24" s="1888"/>
      <c r="N24" s="1888"/>
      <c r="O24" s="1888"/>
      <c r="P24" s="1888"/>
      <c r="Q24" s="1888"/>
      <c r="R24" s="1888"/>
      <c r="S24" s="1888"/>
      <c r="T24" s="1888"/>
    </row>
    <row r="25" spans="1:26" ht="18" customHeight="1" x14ac:dyDescent="0.2">
      <c r="A25" s="1888"/>
      <c r="B25" s="2325" t="s">
        <v>1248</v>
      </c>
      <c r="C25" s="2310">
        <f>+'CO2 - Cálculos'!AG54</f>
        <v>68918.08455</v>
      </c>
      <c r="D25" s="2232"/>
      <c r="E25" s="2232"/>
      <c r="F25" s="1888"/>
      <c r="G25" s="1888"/>
      <c r="H25" s="1888"/>
      <c r="I25" s="1888"/>
      <c r="J25" s="1888"/>
      <c r="K25" s="1888"/>
      <c r="L25" s="1888"/>
      <c r="M25" s="1888"/>
      <c r="N25" s="1888"/>
      <c r="O25" s="1888"/>
      <c r="P25" s="1888"/>
      <c r="Q25" s="1888"/>
      <c r="R25" s="1888"/>
      <c r="S25" s="1888"/>
      <c r="T25" s="1888"/>
    </row>
    <row r="26" spans="1:26" ht="18" customHeight="1" x14ac:dyDescent="0.2">
      <c r="A26" s="1888"/>
      <c r="B26" s="2325" t="s">
        <v>1249</v>
      </c>
      <c r="C26" s="2310">
        <f>+'CO2 - Cálculos'!AG55</f>
        <v>0</v>
      </c>
      <c r="D26" s="2232"/>
      <c r="E26" s="2232"/>
      <c r="F26" s="1888"/>
      <c r="G26" s="1888"/>
      <c r="H26" s="1888"/>
      <c r="I26" s="1888"/>
      <c r="J26" s="1888"/>
      <c r="K26" s="1888"/>
      <c r="L26" s="1888"/>
      <c r="M26" s="1888"/>
      <c r="N26" s="1888"/>
      <c r="O26" s="1888"/>
      <c r="P26" s="1888"/>
      <c r="Q26" s="1888"/>
      <c r="R26" s="1888"/>
      <c r="S26" s="1888"/>
      <c r="T26" s="1888"/>
    </row>
    <row r="27" spans="1:26" ht="18" customHeight="1" x14ac:dyDescent="0.2">
      <c r="A27" s="1888"/>
      <c r="B27" s="2224" t="s">
        <v>63</v>
      </c>
      <c r="C27" s="2310">
        <f>+'CO2 - Cálculos'!AG56</f>
        <v>0</v>
      </c>
      <c r="D27" s="2232"/>
      <c r="E27" s="2232"/>
      <c r="F27" s="1888"/>
      <c r="G27" s="1888"/>
      <c r="H27" s="1888"/>
      <c r="I27" s="1888"/>
      <c r="J27" s="1888"/>
      <c r="K27" s="1888"/>
      <c r="L27" s="1888"/>
      <c r="M27" s="1888"/>
      <c r="N27" s="1888"/>
      <c r="O27" s="1888"/>
      <c r="P27" s="1888"/>
      <c r="Q27" s="1888"/>
      <c r="R27" s="1888"/>
      <c r="S27" s="1888"/>
      <c r="T27" s="1888"/>
    </row>
    <row r="28" spans="1:26"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26" s="2227" customFormat="1" ht="26.1" customHeight="1" x14ac:dyDescent="0.2">
      <c r="A29" s="2061" t="s">
        <v>1265</v>
      </c>
      <c r="B29" s="2327"/>
      <c r="C29" s="2328"/>
      <c r="D29" s="2328"/>
      <c r="E29" s="2328"/>
      <c r="F29" s="2028"/>
      <c r="G29" s="2028"/>
      <c r="H29" s="2028"/>
      <c r="I29" s="2028"/>
      <c r="J29" s="2028"/>
      <c r="K29" s="2028"/>
      <c r="L29" s="2028"/>
      <c r="M29" s="2028"/>
      <c r="N29" s="2028"/>
      <c r="O29" s="2028"/>
      <c r="P29" s="2028"/>
      <c r="Q29" s="2028"/>
      <c r="R29" s="2028"/>
      <c r="S29" s="2028"/>
      <c r="T29" s="2028"/>
      <c r="U29" s="1843"/>
      <c r="V29" s="1843"/>
      <c r="W29" s="1843"/>
      <c r="X29" s="1843"/>
      <c r="Y29" s="1843"/>
      <c r="Z29" s="1843"/>
    </row>
    <row r="30" spans="1:26"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26" ht="18" customHeight="1" x14ac:dyDescent="0.2">
      <c r="A31" s="1888"/>
      <c r="B31" s="2329"/>
      <c r="C31" s="2330" t="s">
        <v>1251</v>
      </c>
      <c r="D31" s="2077" t="s">
        <v>1252</v>
      </c>
      <c r="E31" s="2077" t="s">
        <v>1253</v>
      </c>
      <c r="F31" s="2331"/>
      <c r="G31" s="2331"/>
      <c r="H31" s="2332"/>
      <c r="I31" s="2331"/>
      <c r="J31" s="2331"/>
      <c r="K31" s="2331"/>
      <c r="L31" s="1888"/>
      <c r="M31" s="1888"/>
      <c r="N31" s="1888"/>
      <c r="O31" s="1888"/>
      <c r="P31" s="1888"/>
      <c r="Q31" s="1888"/>
      <c r="R31" s="1888"/>
      <c r="S31" s="1888"/>
      <c r="T31" s="1888"/>
    </row>
    <row r="32" spans="1:26" ht="18" customHeight="1" x14ac:dyDescent="0.2">
      <c r="A32" s="1888"/>
      <c r="B32" s="2333" t="s">
        <v>1238</v>
      </c>
      <c r="C32" s="2334"/>
      <c r="D32" s="2335"/>
      <c r="E32" s="2335"/>
      <c r="F32" s="2331"/>
      <c r="G32" s="2331"/>
      <c r="H32" s="2331"/>
      <c r="I32" s="2331"/>
      <c r="J32" s="2331"/>
      <c r="K32" s="2331"/>
      <c r="L32" s="1888"/>
      <c r="M32" s="1888"/>
      <c r="N32" s="1888"/>
      <c r="O32" s="1888"/>
      <c r="P32" s="1888"/>
      <c r="Q32" s="1888"/>
      <c r="R32" s="1888"/>
      <c r="S32" s="1888"/>
      <c r="T32" s="1888"/>
    </row>
    <row r="33" spans="1:20" ht="18" customHeight="1" x14ac:dyDescent="0.2">
      <c r="A33" s="1888"/>
      <c r="B33" s="2336"/>
      <c r="C33" s="2335"/>
      <c r="D33" s="2335"/>
      <c r="E33" s="2335"/>
      <c r="F33" s="2331"/>
      <c r="G33" s="2331"/>
      <c r="H33" s="2331"/>
      <c r="I33" s="2331"/>
      <c r="J33" s="2331"/>
      <c r="K33" s="2331"/>
      <c r="L33" s="1888"/>
      <c r="M33" s="1888"/>
      <c r="N33" s="1888"/>
      <c r="O33" s="1888"/>
      <c r="P33" s="1888"/>
      <c r="Q33" s="1888"/>
      <c r="R33" s="1888"/>
      <c r="S33" s="1888"/>
      <c r="T33" s="1888"/>
    </row>
    <row r="34" spans="1:20" ht="18" customHeight="1" x14ac:dyDescent="0.2">
      <c r="A34" s="1888"/>
      <c r="B34" s="2224" t="str">
        <f>B7</f>
        <v>Resíduos de alimentos</v>
      </c>
      <c r="C34" s="2337">
        <f t="shared" ref="C34:C41" si="5">+C62</f>
        <v>0</v>
      </c>
      <c r="D34" s="2337">
        <f t="shared" ref="D34:D41" si="6">+C71</f>
        <v>0</v>
      </c>
      <c r="E34" s="2337">
        <f t="shared" ref="E34:E41" si="7">+D34+C34</f>
        <v>0</v>
      </c>
      <c r="F34" s="2331"/>
      <c r="G34" s="2331"/>
      <c r="H34" s="2331"/>
      <c r="I34" s="2331"/>
      <c r="J34" s="2331"/>
      <c r="K34" s="2331"/>
      <c r="L34" s="1888"/>
      <c r="M34" s="1888"/>
      <c r="N34" s="1888"/>
      <c r="O34" s="1888"/>
      <c r="P34" s="1888"/>
      <c r="Q34" s="1888"/>
      <c r="R34" s="1888"/>
      <c r="S34" s="1888"/>
      <c r="T34" s="1888"/>
    </row>
    <row r="35" spans="1:20" ht="18" customHeight="1" x14ac:dyDescent="0.2">
      <c r="A35" s="1888"/>
      <c r="B35" s="2224" t="str">
        <f t="shared" ref="B35:B41" si="8">B8</f>
        <v>Resíduos de jardins e parques</v>
      </c>
      <c r="C35" s="2337">
        <f t="shared" si="5"/>
        <v>0</v>
      </c>
      <c r="D35" s="2337">
        <f t="shared" si="6"/>
        <v>0</v>
      </c>
      <c r="E35" s="2337">
        <f t="shared" si="7"/>
        <v>0</v>
      </c>
      <c r="F35" s="2331"/>
      <c r="G35" s="2331"/>
      <c r="H35" s="2331"/>
      <c r="I35" s="2331"/>
      <c r="J35" s="2331"/>
      <c r="K35" s="2331"/>
      <c r="L35" s="1888"/>
      <c r="M35" s="1888"/>
      <c r="N35" s="1888"/>
      <c r="O35" s="1888"/>
      <c r="P35" s="1888"/>
      <c r="Q35" s="1888"/>
      <c r="R35" s="1888"/>
      <c r="S35" s="1888"/>
      <c r="T35" s="1888"/>
    </row>
    <row r="36" spans="1:20" ht="18" customHeight="1" x14ac:dyDescent="0.2">
      <c r="A36" s="1888"/>
      <c r="B36" s="2224" t="str">
        <f t="shared" si="8"/>
        <v>Papel, papelão</v>
      </c>
      <c r="C36" s="2337">
        <f t="shared" si="5"/>
        <v>7999.4112480000003</v>
      </c>
      <c r="D36" s="2337">
        <f t="shared" si="6"/>
        <v>-9859.1469840000009</v>
      </c>
      <c r="E36" s="2337">
        <f t="shared" si="7"/>
        <v>-1859.7357360000005</v>
      </c>
      <c r="F36" s="2331"/>
      <c r="G36" s="2331"/>
      <c r="H36" s="2331"/>
      <c r="I36" s="2331"/>
      <c r="J36" s="2331"/>
      <c r="K36" s="2331"/>
      <c r="L36" s="1888"/>
      <c r="M36" s="1888"/>
      <c r="N36" s="1888"/>
      <c r="O36" s="1888"/>
      <c r="P36" s="1888"/>
      <c r="Q36" s="1888"/>
      <c r="R36" s="1888"/>
      <c r="S36" s="1888"/>
      <c r="T36" s="1888"/>
    </row>
    <row r="37" spans="1:20" ht="18" customHeight="1" x14ac:dyDescent="0.2">
      <c r="A37" s="1888"/>
      <c r="B37" s="2224" t="str">
        <f t="shared" si="8"/>
        <v>Plásticos</v>
      </c>
      <c r="C37" s="2337">
        <f t="shared" si="5"/>
        <v>1777.8420000000001</v>
      </c>
      <c r="D37" s="2337">
        <f t="shared" si="6"/>
        <v>-8281.2747600000002</v>
      </c>
      <c r="E37" s="2337">
        <f t="shared" si="7"/>
        <v>-6503.4327599999997</v>
      </c>
      <c r="F37" s="2331"/>
      <c r="G37" s="2331"/>
      <c r="H37" s="2331"/>
      <c r="I37" s="2331"/>
      <c r="J37" s="2331"/>
      <c r="K37" s="2331"/>
      <c r="L37" s="1888"/>
      <c r="M37" s="1888"/>
      <c r="N37" s="1888"/>
      <c r="O37" s="1888"/>
      <c r="P37" s="1888"/>
      <c r="Q37" s="1888"/>
      <c r="R37" s="1888"/>
      <c r="S37" s="1888"/>
      <c r="T37" s="1888"/>
    </row>
    <row r="38" spans="1:20" ht="18" customHeight="1" x14ac:dyDescent="0.2">
      <c r="A38" s="1888"/>
      <c r="B38" s="2224" t="str">
        <f t="shared" si="8"/>
        <v>Vidros</v>
      </c>
      <c r="C38" s="2337">
        <f t="shared" si="5"/>
        <v>0</v>
      </c>
      <c r="D38" s="2337">
        <f t="shared" si="6"/>
        <v>0</v>
      </c>
      <c r="E38" s="2337">
        <f t="shared" si="7"/>
        <v>0</v>
      </c>
      <c r="F38" s="2331"/>
      <c r="G38" s="2331"/>
      <c r="H38" s="2331"/>
      <c r="I38" s="2331"/>
      <c r="J38" s="2331"/>
      <c r="K38" s="2331"/>
      <c r="L38" s="1888"/>
      <c r="M38" s="1888"/>
      <c r="N38" s="1888"/>
      <c r="O38" s="1888"/>
      <c r="P38" s="1888"/>
      <c r="Q38" s="1888"/>
      <c r="R38" s="1888"/>
      <c r="S38" s="1888"/>
      <c r="T38" s="1888"/>
    </row>
    <row r="39" spans="1:20" ht="18" customHeight="1" x14ac:dyDescent="0.2">
      <c r="A39" s="1888"/>
      <c r="B39" s="2224" t="str">
        <f t="shared" si="8"/>
        <v>Metais ferrosos</v>
      </c>
      <c r="C39" s="2337">
        <f t="shared" si="5"/>
        <v>204.16639999999998</v>
      </c>
      <c r="D39" s="2337">
        <f t="shared" si="6"/>
        <v>-5461.4512000000004</v>
      </c>
      <c r="E39" s="2337">
        <f t="shared" si="7"/>
        <v>-5257.2848000000004</v>
      </c>
      <c r="F39" s="2331"/>
      <c r="G39" s="2331"/>
      <c r="H39" s="2331"/>
      <c r="I39" s="2331"/>
      <c r="J39" s="2331"/>
      <c r="K39" s="2331"/>
      <c r="L39" s="1888"/>
      <c r="M39" s="1888"/>
      <c r="N39" s="1888"/>
      <c r="O39" s="1888"/>
      <c r="P39" s="1888"/>
      <c r="Q39" s="1888"/>
      <c r="R39" s="1888"/>
      <c r="S39" s="1888"/>
      <c r="T39" s="1888"/>
    </row>
    <row r="40" spans="1:20" ht="18" customHeight="1" x14ac:dyDescent="0.2">
      <c r="A40" s="1888"/>
      <c r="B40" s="2224" t="str">
        <f t="shared" si="8"/>
        <v>Alumínio</v>
      </c>
      <c r="C40" s="2337">
        <f t="shared" si="5"/>
        <v>580.04339999999991</v>
      </c>
      <c r="D40" s="2337">
        <f t="shared" si="6"/>
        <v>-8222.1359999999986</v>
      </c>
      <c r="E40" s="2337">
        <f t="shared" si="7"/>
        <v>-7642.092599999999</v>
      </c>
      <c r="F40" s="2331"/>
      <c r="G40" s="2331"/>
      <c r="H40" s="2331"/>
      <c r="I40" s="2331"/>
      <c r="J40" s="2331"/>
      <c r="K40" s="2331"/>
      <c r="L40" s="1888"/>
      <c r="M40" s="1888"/>
      <c r="N40" s="1888"/>
      <c r="O40" s="1888"/>
      <c r="P40" s="1888"/>
      <c r="Q40" s="1888"/>
      <c r="R40" s="1888"/>
      <c r="S40" s="1888"/>
      <c r="T40" s="1888"/>
    </row>
    <row r="41" spans="1:20" ht="18" customHeight="1" x14ac:dyDescent="0.2">
      <c r="A41" s="1888"/>
      <c r="B41" s="2224" t="str">
        <f t="shared" si="8"/>
        <v>Têxteis</v>
      </c>
      <c r="C41" s="2337">
        <f t="shared" si="5"/>
        <v>0</v>
      </c>
      <c r="D41" s="2337">
        <f t="shared" si="6"/>
        <v>0</v>
      </c>
      <c r="E41" s="2337">
        <f t="shared" si="7"/>
        <v>0</v>
      </c>
      <c r="F41" s="2331"/>
      <c r="G41" s="2331"/>
      <c r="H41" s="2331"/>
      <c r="I41" s="2331"/>
      <c r="J41" s="2331"/>
      <c r="K41" s="2331"/>
      <c r="L41" s="1888"/>
      <c r="M41" s="1888"/>
      <c r="N41" s="1888"/>
      <c r="O41" s="1888"/>
      <c r="P41" s="1888"/>
      <c r="Q41" s="1888"/>
      <c r="R41" s="1888"/>
      <c r="S41" s="1888"/>
      <c r="T41" s="1888"/>
    </row>
    <row r="42" spans="1:20" ht="18" customHeight="1" x14ac:dyDescent="0.2">
      <c r="A42" s="1888"/>
      <c r="B42" s="2338"/>
      <c r="C42" s="2339"/>
      <c r="D42" s="2340"/>
      <c r="E42" s="2339"/>
      <c r="F42" s="2331"/>
      <c r="G42" s="2331"/>
      <c r="H42" s="2331"/>
      <c r="I42" s="2331"/>
      <c r="J42" s="2331"/>
      <c r="K42" s="2331"/>
      <c r="L42" s="1888"/>
      <c r="M42" s="1888"/>
      <c r="N42" s="1888"/>
      <c r="O42" s="1888"/>
      <c r="P42" s="1888"/>
      <c r="Q42" s="1888"/>
      <c r="R42" s="1888"/>
      <c r="S42" s="1888"/>
      <c r="T42" s="1888"/>
    </row>
    <row r="43" spans="1:20" ht="18" customHeight="1" x14ac:dyDescent="0.2">
      <c r="A43" s="1888"/>
      <c r="B43" s="2341" t="s">
        <v>1264</v>
      </c>
      <c r="C43" s="2342"/>
      <c r="D43" s="2343"/>
      <c r="E43" s="2343"/>
      <c r="F43" s="2331"/>
      <c r="G43" s="2331"/>
      <c r="H43" s="2331"/>
      <c r="I43" s="2331"/>
      <c r="J43" s="2331"/>
      <c r="K43" s="2331"/>
      <c r="L43" s="1888"/>
      <c r="M43" s="1888"/>
      <c r="N43" s="1888"/>
      <c r="O43" s="1888"/>
      <c r="P43" s="1888"/>
      <c r="Q43" s="1888"/>
      <c r="R43" s="1888"/>
      <c r="S43" s="1888"/>
      <c r="T43" s="1888"/>
    </row>
    <row r="44" spans="1:20" ht="18" customHeight="1" x14ac:dyDescent="0.2">
      <c r="A44" s="1888"/>
      <c r="B44" s="2336"/>
      <c r="C44" s="2334"/>
      <c r="D44" s="2334"/>
      <c r="E44" s="2334"/>
      <c r="F44" s="2331"/>
      <c r="G44" s="2331"/>
      <c r="H44" s="2331"/>
      <c r="I44" s="2331"/>
      <c r="J44" s="2331"/>
      <c r="K44" s="2331"/>
      <c r="L44" s="1888"/>
      <c r="M44" s="1888"/>
      <c r="N44" s="1888"/>
      <c r="O44" s="1888"/>
      <c r="P44" s="1888"/>
      <c r="Q44" s="1888"/>
      <c r="R44" s="1888"/>
      <c r="S44" s="1888"/>
      <c r="T44" s="1888"/>
    </row>
    <row r="45" spans="1:20" ht="18" customHeight="1" x14ac:dyDescent="0.2">
      <c r="A45" s="1888"/>
      <c r="B45" s="2224" t="str">
        <f>B18</f>
        <v>Resíduos dispersos</v>
      </c>
      <c r="C45" s="2337">
        <f t="shared" ref="C45:C53" si="9">+L62</f>
        <v>0</v>
      </c>
      <c r="D45" s="2337">
        <f t="shared" ref="D45:D54" si="10">+L73</f>
        <v>0</v>
      </c>
      <c r="E45" s="2337">
        <f t="shared" ref="E45:E53" si="11">+D45+C45</f>
        <v>0</v>
      </c>
      <c r="F45" s="2331"/>
      <c r="G45" s="2331"/>
      <c r="H45" s="2331"/>
      <c r="I45" s="2331"/>
      <c r="J45" s="2331"/>
      <c r="K45" s="2331"/>
      <c r="L45" s="1888"/>
      <c r="M45" s="1888"/>
      <c r="N45" s="1888"/>
      <c r="O45" s="1888"/>
      <c r="P45" s="1888"/>
      <c r="Q45" s="1888"/>
      <c r="R45" s="1888"/>
      <c r="S45" s="1888"/>
      <c r="T45" s="1888"/>
    </row>
    <row r="46" spans="1:20" ht="18" customHeight="1" x14ac:dyDescent="0.2">
      <c r="A46" s="1888"/>
      <c r="B46" s="2224" t="str">
        <f t="shared" ref="B46:B54" si="12">B19</f>
        <v>Queima a céu aberto</v>
      </c>
      <c r="C46" s="2337">
        <f t="shared" si="9"/>
        <v>0</v>
      </c>
      <c r="D46" s="2337">
        <f t="shared" si="10"/>
        <v>0</v>
      </c>
      <c r="E46" s="2337">
        <f t="shared" si="11"/>
        <v>0</v>
      </c>
      <c r="F46" s="2331"/>
      <c r="G46" s="2331"/>
      <c r="H46" s="2331"/>
      <c r="I46" s="2331"/>
      <c r="J46" s="2331"/>
      <c r="K46" s="2331"/>
      <c r="L46" s="1888"/>
      <c r="M46" s="1888"/>
      <c r="N46" s="1888"/>
      <c r="O46" s="1888"/>
      <c r="P46" s="1888"/>
      <c r="Q46" s="1888"/>
      <c r="R46" s="1888"/>
      <c r="S46" s="1888"/>
      <c r="T46" s="1888"/>
    </row>
    <row r="47" spans="1:20" ht="18" customHeight="1" x14ac:dyDescent="0.2">
      <c r="A47" s="1888"/>
      <c r="B47" s="2224" t="str">
        <f t="shared" si="12"/>
        <v>Lixão não controlado</v>
      </c>
      <c r="C47" s="2337">
        <f t="shared" si="9"/>
        <v>0</v>
      </c>
      <c r="D47" s="2337">
        <f t="shared" si="10"/>
        <v>0</v>
      </c>
      <c r="E47" s="2337">
        <f t="shared" si="11"/>
        <v>0</v>
      </c>
      <c r="F47" s="2331"/>
      <c r="G47" s="2331"/>
      <c r="H47" s="2331"/>
      <c r="I47" s="2331"/>
      <c r="J47" s="2331"/>
      <c r="K47" s="2331"/>
      <c r="L47" s="1888"/>
      <c r="M47" s="1888"/>
      <c r="N47" s="1888"/>
      <c r="O47" s="1888"/>
      <c r="P47" s="1888"/>
      <c r="Q47" s="1888"/>
      <c r="R47" s="1888"/>
      <c r="S47" s="1888"/>
      <c r="T47" s="1888"/>
    </row>
    <row r="48" spans="1:20" ht="18" customHeight="1" x14ac:dyDescent="0.2">
      <c r="A48" s="1888"/>
      <c r="B48" s="2224" t="str">
        <f t="shared" si="12"/>
        <v>Aterro controlado</v>
      </c>
      <c r="C48" s="2337">
        <f t="shared" si="9"/>
        <v>0</v>
      </c>
      <c r="D48" s="2337">
        <f t="shared" si="10"/>
        <v>0</v>
      </c>
      <c r="E48" s="2337">
        <f t="shared" si="11"/>
        <v>0</v>
      </c>
      <c r="F48" s="2331"/>
      <c r="G48" s="2331"/>
      <c r="H48" s="2331"/>
      <c r="I48" s="2331"/>
      <c r="J48" s="2331"/>
      <c r="K48" s="2331"/>
      <c r="L48" s="1888"/>
      <c r="M48" s="1888"/>
      <c r="N48" s="1888"/>
      <c r="O48" s="1888"/>
      <c r="P48" s="1888"/>
      <c r="Q48" s="1888"/>
      <c r="R48" s="1888"/>
      <c r="S48" s="1888"/>
      <c r="T48" s="1888"/>
    </row>
    <row r="49" spans="1:21" ht="18" customHeight="1" x14ac:dyDescent="0.2">
      <c r="A49" s="1888"/>
      <c r="B49" s="2224" t="str">
        <f t="shared" si="12"/>
        <v>Aterro sanitário</v>
      </c>
      <c r="C49" s="2337">
        <f t="shared" si="9"/>
        <v>53980.946707938478</v>
      </c>
      <c r="D49" s="2337">
        <f t="shared" si="10"/>
        <v>0</v>
      </c>
      <c r="E49" s="2337">
        <f t="shared" si="11"/>
        <v>53980.946707938478</v>
      </c>
      <c r="F49" s="2331"/>
      <c r="G49" s="2331"/>
      <c r="H49" s="2331"/>
      <c r="I49" s="2331"/>
      <c r="J49" s="2331"/>
      <c r="K49" s="2331"/>
      <c r="L49" s="1888"/>
      <c r="M49" s="1888"/>
      <c r="N49" s="1888"/>
      <c r="O49" s="1888"/>
      <c r="P49" s="1888"/>
      <c r="Q49" s="1888"/>
      <c r="R49" s="1888"/>
      <c r="S49" s="1888"/>
      <c r="T49" s="1888"/>
    </row>
    <row r="50" spans="1:21" ht="18" customHeight="1" x14ac:dyDescent="0.2">
      <c r="A50" s="1888"/>
      <c r="B50" s="2224" t="str">
        <f t="shared" si="12"/>
        <v>Trat. biol + cobertura at.</v>
      </c>
      <c r="C50" s="2337">
        <f t="shared" si="9"/>
        <v>0</v>
      </c>
      <c r="D50" s="2337">
        <f t="shared" si="10"/>
        <v>0</v>
      </c>
      <c r="E50" s="2337">
        <f t="shared" si="11"/>
        <v>0</v>
      </c>
      <c r="F50" s="2331"/>
      <c r="G50" s="2331"/>
      <c r="H50" s="2331"/>
      <c r="I50" s="2331"/>
      <c r="J50" s="2331"/>
      <c r="K50" s="2331"/>
      <c r="L50" s="1888"/>
      <c r="M50" s="1888"/>
      <c r="N50" s="1888"/>
      <c r="O50" s="1888"/>
      <c r="P50" s="1888"/>
      <c r="Q50" s="1888"/>
      <c r="R50" s="1888"/>
      <c r="S50" s="1888"/>
      <c r="T50" s="1888"/>
    </row>
    <row r="51" spans="1:21" ht="18" customHeight="1" x14ac:dyDescent="0.2">
      <c r="A51" s="1888"/>
      <c r="B51" s="2224" t="str">
        <f t="shared" si="12"/>
        <v>CDR seco + rejeito aterro</v>
      </c>
      <c r="C51" s="2337">
        <f t="shared" si="9"/>
        <v>9878.871077030024</v>
      </c>
      <c r="D51" s="2337">
        <f t="shared" si="10"/>
        <v>-8213.3557915298534</v>
      </c>
      <c r="E51" s="2337">
        <f t="shared" si="11"/>
        <v>1665.5152855001706</v>
      </c>
      <c r="F51" s="2331"/>
      <c r="G51" s="2344"/>
      <c r="H51" s="2345"/>
      <c r="I51" s="2345"/>
      <c r="J51" s="2345"/>
      <c r="K51" s="2331"/>
      <c r="L51" s="1888"/>
      <c r="M51" s="1888"/>
      <c r="N51" s="1888"/>
      <c r="O51" s="1888"/>
      <c r="P51" s="1888"/>
      <c r="Q51" s="1888"/>
      <c r="R51" s="1888"/>
      <c r="S51" s="1888"/>
      <c r="T51" s="1888"/>
    </row>
    <row r="52" spans="1:21" ht="18" customHeight="1" x14ac:dyDescent="0.2">
      <c r="A52" s="1888"/>
      <c r="B52" s="2224" t="str">
        <f t="shared" si="12"/>
        <v>CDR seco + trat. biol.</v>
      </c>
      <c r="C52" s="2337">
        <f t="shared" si="9"/>
        <v>7289.5189941719445</v>
      </c>
      <c r="D52" s="2337">
        <f t="shared" si="10"/>
        <v>-41186.708432916232</v>
      </c>
      <c r="E52" s="2337">
        <f t="shared" si="11"/>
        <v>-33897.189438744288</v>
      </c>
      <c r="F52" s="2331"/>
      <c r="G52" s="2346"/>
      <c r="H52" s="2347" t="s">
        <v>1254</v>
      </c>
      <c r="I52" s="2348" t="s">
        <v>1266</v>
      </c>
      <c r="J52" s="2348" t="s">
        <v>1255</v>
      </c>
      <c r="K52" s="2331"/>
      <c r="L52" s="1888"/>
      <c r="M52" s="1888"/>
      <c r="N52" s="1888"/>
      <c r="O52" s="1888"/>
      <c r="P52" s="1888"/>
      <c r="Q52" s="1888"/>
      <c r="R52" s="1888"/>
      <c r="S52" s="1888"/>
      <c r="T52" s="1888"/>
    </row>
    <row r="53" spans="1:21" ht="18" customHeight="1" x14ac:dyDescent="0.2">
      <c r="A53" s="1888"/>
      <c r="B53" s="2224" t="str">
        <f t="shared" si="12"/>
        <v>CDR seco + CDR org.</v>
      </c>
      <c r="C53" s="2337">
        <f t="shared" si="9"/>
        <v>0</v>
      </c>
      <c r="D53" s="2337">
        <f t="shared" si="10"/>
        <v>0</v>
      </c>
      <c r="E53" s="2337">
        <f t="shared" si="11"/>
        <v>0</v>
      </c>
      <c r="F53" s="2331"/>
      <c r="G53" s="2349" t="s">
        <v>1256</v>
      </c>
      <c r="H53" s="2350">
        <f>SUM(C34:C41)</f>
        <v>10561.463048000001</v>
      </c>
      <c r="I53" s="2350">
        <f>SUM(C45:C54)</f>
        <v>71149.336779140445</v>
      </c>
      <c r="J53" s="2350">
        <f>+I53+H53</f>
        <v>81710.79982714045</v>
      </c>
      <c r="K53" s="2331"/>
      <c r="L53" s="1888"/>
      <c r="M53" s="1888"/>
      <c r="N53" s="1888"/>
      <c r="O53" s="1888"/>
      <c r="P53" s="1888"/>
      <c r="Q53" s="1888"/>
      <c r="R53" s="1888"/>
      <c r="S53" s="1888"/>
      <c r="T53" s="1888"/>
    </row>
    <row r="54" spans="1:21" ht="18" customHeight="1" x14ac:dyDescent="0.2">
      <c r="A54" s="1888"/>
      <c r="B54" s="2224" t="str">
        <f t="shared" si="12"/>
        <v>Incineração</v>
      </c>
      <c r="C54" s="2337">
        <f>+L71</f>
        <v>0</v>
      </c>
      <c r="D54" s="2337">
        <f t="shared" si="10"/>
        <v>0</v>
      </c>
      <c r="E54" s="2337">
        <f>+D54+C54</f>
        <v>0</v>
      </c>
      <c r="F54" s="2331"/>
      <c r="G54" s="2349" t="s">
        <v>1257</v>
      </c>
      <c r="H54" s="2350">
        <f>SUM(D34:D41)</f>
        <v>-31824.008943999997</v>
      </c>
      <c r="I54" s="2350">
        <f>SUM(D45:D54)</f>
        <v>-49400.064224446083</v>
      </c>
      <c r="J54" s="2350">
        <f>+I54+H54</f>
        <v>-81224.073168446077</v>
      </c>
      <c r="K54" s="2331"/>
      <c r="L54" s="1888"/>
      <c r="M54" s="1888"/>
      <c r="N54" s="1888"/>
      <c r="O54" s="1888"/>
      <c r="P54" s="1888"/>
      <c r="Q54" s="1888"/>
      <c r="R54" s="1888"/>
      <c r="S54" s="1888"/>
      <c r="T54" s="1888"/>
    </row>
    <row r="55" spans="1:21" ht="18" customHeight="1" x14ac:dyDescent="0.2">
      <c r="A55" s="1888"/>
      <c r="B55" s="2338"/>
      <c r="C55" s="2351"/>
      <c r="D55" s="2352"/>
      <c r="E55" s="2351"/>
      <c r="F55" s="2331"/>
      <c r="G55" s="2349" t="s">
        <v>1258</v>
      </c>
      <c r="H55" s="2350">
        <f>+H53+H54</f>
        <v>-21262.545895999996</v>
      </c>
      <c r="I55" s="2350">
        <f>+I53+I54</f>
        <v>21749.272554694362</v>
      </c>
      <c r="J55" s="2350">
        <f>+I55+H55</f>
        <v>486.72665869436605</v>
      </c>
      <c r="K55" s="2331"/>
      <c r="L55" s="1888"/>
      <c r="M55" s="1888"/>
      <c r="N55" s="1888"/>
      <c r="O55" s="1888"/>
      <c r="P55" s="1888"/>
      <c r="Q55" s="1888"/>
      <c r="R55" s="1888"/>
      <c r="S55" s="1888"/>
      <c r="T55" s="1888"/>
    </row>
    <row r="56" spans="1:21" ht="18" customHeight="1" x14ac:dyDescent="0.2">
      <c r="A56" s="1888"/>
      <c r="B56" s="2341" t="s">
        <v>52</v>
      </c>
      <c r="C56" s="2353">
        <f>SUM(C34:C54)</f>
        <v>81710.79982714045</v>
      </c>
      <c r="D56" s="2353">
        <f>SUM(D34:D54)</f>
        <v>-81224.073168446077</v>
      </c>
      <c r="E56" s="2353">
        <f>+D56+C56</f>
        <v>486.72665869437333</v>
      </c>
      <c r="F56" s="2331"/>
      <c r="G56" s="2344"/>
      <c r="H56" s="2354"/>
      <c r="I56" s="2354"/>
      <c r="J56" s="2354"/>
      <c r="K56" s="2331"/>
      <c r="L56" s="1888"/>
      <c r="M56" s="1888"/>
      <c r="N56" s="1888"/>
      <c r="O56" s="1888"/>
      <c r="P56" s="1888"/>
      <c r="Q56" s="1888"/>
      <c r="R56" s="1888"/>
      <c r="S56" s="1888"/>
      <c r="T56" s="1888"/>
    </row>
    <row r="57" spans="1:21"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1"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1" s="2227" customFormat="1" ht="26.1" customHeight="1" x14ac:dyDescent="0.25">
      <c r="A59" s="2289" t="s">
        <v>1259</v>
      </c>
      <c r="B59" s="2355"/>
      <c r="C59" s="2355"/>
      <c r="D59" s="2355"/>
      <c r="E59" s="2355"/>
      <c r="F59" s="2226"/>
      <c r="G59" s="1938"/>
      <c r="H59" s="1983"/>
      <c r="I59" s="1983"/>
      <c r="J59" s="1983"/>
      <c r="K59" s="1910" t="s">
        <v>1267</v>
      </c>
      <c r="L59" s="1983"/>
      <c r="M59" s="1983"/>
      <c r="N59" s="1983"/>
      <c r="O59" s="1983"/>
      <c r="P59" s="1938"/>
      <c r="Q59" s="1938"/>
      <c r="R59" s="1938"/>
      <c r="S59" s="1938"/>
      <c r="T59" s="1938"/>
      <c r="U59" s="2356"/>
    </row>
    <row r="60" spans="1:21"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1" ht="18" customHeight="1" x14ac:dyDescent="0.25">
      <c r="A61" s="1888"/>
      <c r="B61" s="2292"/>
      <c r="C61" s="2357" t="s">
        <v>1238</v>
      </c>
      <c r="D61" s="2357" t="s">
        <v>1258</v>
      </c>
      <c r="E61" s="1888"/>
      <c r="F61" s="1888"/>
      <c r="G61" s="1888"/>
      <c r="H61" s="1888"/>
      <c r="I61" s="1888"/>
      <c r="J61" s="1888"/>
      <c r="K61" s="2358"/>
      <c r="L61" s="2359" t="s">
        <v>1266</v>
      </c>
      <c r="M61" s="2357" t="s">
        <v>1258</v>
      </c>
      <c r="N61" s="1888"/>
      <c r="O61" s="1888"/>
      <c r="P61" s="1888"/>
      <c r="Q61" s="1888"/>
      <c r="R61" s="1888"/>
      <c r="S61" s="1888"/>
      <c r="T61" s="1888"/>
    </row>
    <row r="62" spans="1:21" ht="18" customHeight="1" x14ac:dyDescent="0.25">
      <c r="A62" s="1888"/>
      <c r="B62" s="2301" t="str">
        <f>+'CO2 - Cálculos'!AC16</f>
        <v>Resíduos de alimentos</v>
      </c>
      <c r="C62" s="2240">
        <f>+'CO2 - Cálculos'!AF16</f>
        <v>0</v>
      </c>
      <c r="D62" s="2273"/>
      <c r="E62" s="1888"/>
      <c r="F62" s="1888"/>
      <c r="G62" s="1888"/>
      <c r="H62" s="1888"/>
      <c r="I62" s="1888"/>
      <c r="J62" s="1888"/>
      <c r="K62" s="2300" t="str">
        <f>+'CO2 - Cálculos'!AC61</f>
        <v>Resíduos dispersos</v>
      </c>
      <c r="L62" s="2240">
        <f>+'CO2 - Cálculos'!AF61</f>
        <v>0</v>
      </c>
      <c r="M62" s="2273"/>
      <c r="N62" s="1888"/>
      <c r="O62" s="1888"/>
      <c r="P62" s="1888"/>
      <c r="Q62" s="1888"/>
      <c r="R62" s="1888"/>
      <c r="S62" s="1888"/>
      <c r="T62" s="1888"/>
    </row>
    <row r="63" spans="1:21" ht="18" customHeight="1" x14ac:dyDescent="0.25">
      <c r="A63" s="1888"/>
      <c r="B63" s="2301" t="str">
        <f>+'CO2 - Cálculos'!AC17</f>
        <v>Resíduos de jardins e parques</v>
      </c>
      <c r="C63" s="2240">
        <f>+'CO2 - Cálculos'!AF17</f>
        <v>0</v>
      </c>
      <c r="D63" s="2273"/>
      <c r="E63" s="1888"/>
      <c r="F63" s="1888"/>
      <c r="G63" s="1888"/>
      <c r="H63" s="1888"/>
      <c r="I63" s="1888"/>
      <c r="J63" s="1888"/>
      <c r="K63" s="2300" t="str">
        <f>+'CO2 - Cálculos'!AC62</f>
        <v>Queima a céu aberto</v>
      </c>
      <c r="L63" s="2240">
        <f>+'CO2 - Cálculos'!AF62</f>
        <v>0</v>
      </c>
      <c r="M63" s="2273"/>
      <c r="N63" s="1888"/>
      <c r="O63" s="1888"/>
      <c r="P63" s="1888"/>
      <c r="Q63" s="1888"/>
      <c r="R63" s="1888"/>
      <c r="S63" s="1888"/>
      <c r="T63" s="1888"/>
    </row>
    <row r="64" spans="1:21" ht="18" customHeight="1" x14ac:dyDescent="0.25">
      <c r="A64" s="1888"/>
      <c r="B64" s="2301" t="str">
        <f>+'CO2 - Cálculos'!AC18</f>
        <v>Papel, papelão</v>
      </c>
      <c r="C64" s="2240">
        <f>+'CO2 - Cálculos'!AF18</f>
        <v>7999.4112480000003</v>
      </c>
      <c r="D64" s="2273"/>
      <c r="E64" s="1888"/>
      <c r="F64" s="1888"/>
      <c r="G64" s="1888"/>
      <c r="H64" s="1888"/>
      <c r="I64" s="1888"/>
      <c r="J64" s="1888"/>
      <c r="K64" s="2300" t="str">
        <f>+'CO2 - Cálculos'!AC63</f>
        <v>Lixão não controlado</v>
      </c>
      <c r="L64" s="2240">
        <f>+'CO2 - Cálculos'!AF63</f>
        <v>0</v>
      </c>
      <c r="M64" s="2273"/>
      <c r="N64" s="1888"/>
      <c r="O64" s="1888"/>
      <c r="P64" s="1888"/>
      <c r="Q64" s="1888"/>
      <c r="R64" s="1888"/>
      <c r="S64" s="1888"/>
      <c r="T64" s="1888"/>
    </row>
    <row r="65" spans="1:20" ht="18" customHeight="1" x14ac:dyDescent="0.25">
      <c r="A65" s="1888"/>
      <c r="B65" s="2301" t="str">
        <f>+'CO2 - Cálculos'!AC19</f>
        <v>Plásticos</v>
      </c>
      <c r="C65" s="2240">
        <f>+'CO2 - Cálculos'!AF19</f>
        <v>1777.8420000000001</v>
      </c>
      <c r="D65" s="2273"/>
      <c r="E65" s="1888"/>
      <c r="F65" s="1888"/>
      <c r="G65" s="1888"/>
      <c r="H65" s="1888"/>
      <c r="I65" s="1888"/>
      <c r="J65" s="1888"/>
      <c r="K65" s="2300" t="str">
        <f>+'CO2 - Cálculos'!AC64</f>
        <v>Aterro controlado</v>
      </c>
      <c r="L65" s="2240">
        <f>+'CO2 - Cálculos'!AF64</f>
        <v>0</v>
      </c>
      <c r="M65" s="2273"/>
      <c r="N65" s="1888"/>
      <c r="O65" s="1888"/>
      <c r="P65" s="1888"/>
      <c r="Q65" s="1888"/>
      <c r="R65" s="1888"/>
      <c r="S65" s="1888"/>
      <c r="T65" s="1888"/>
    </row>
    <row r="66" spans="1:20" ht="18" customHeight="1" x14ac:dyDescent="0.25">
      <c r="A66" s="1888"/>
      <c r="B66" s="2301" t="str">
        <f>+'CO2 - Cálculos'!AC20</f>
        <v>Vidros</v>
      </c>
      <c r="C66" s="2240">
        <f>+'CO2 - Cálculos'!AF20</f>
        <v>0</v>
      </c>
      <c r="D66" s="2273"/>
      <c r="E66" s="1888"/>
      <c r="F66" s="1888"/>
      <c r="G66" s="1888"/>
      <c r="H66" s="1888"/>
      <c r="I66" s="1888"/>
      <c r="J66" s="1888"/>
      <c r="K66" s="2300" t="str">
        <f>+'CO2 - Cálculos'!AC65</f>
        <v>Aterro sanitário</v>
      </c>
      <c r="L66" s="2240">
        <f>+'CO2 - Cálculos'!AF65</f>
        <v>53980.946707938478</v>
      </c>
      <c r="M66" s="2273"/>
      <c r="N66" s="1888"/>
      <c r="O66" s="1888"/>
      <c r="P66" s="1888"/>
      <c r="Q66" s="1888"/>
      <c r="R66" s="1888"/>
      <c r="S66" s="1888"/>
      <c r="T66" s="1888"/>
    </row>
    <row r="67" spans="1:20" ht="18" customHeight="1" x14ac:dyDescent="0.25">
      <c r="A67" s="1888"/>
      <c r="B67" s="2301" t="str">
        <f>+'CO2 - Cálculos'!AC21</f>
        <v>Metais ferrosos</v>
      </c>
      <c r="C67" s="2240">
        <f>+'CO2 - Cálculos'!AF21</f>
        <v>204.16639999999998</v>
      </c>
      <c r="D67" s="2273"/>
      <c r="E67" s="1888"/>
      <c r="F67" s="1888"/>
      <c r="G67" s="1888"/>
      <c r="H67" s="1888"/>
      <c r="I67" s="1888"/>
      <c r="J67" s="2360"/>
      <c r="K67" s="2300" t="str">
        <f>+'CO2 - Cálculos'!AC66</f>
        <v>Trat. biol + cobertura at.</v>
      </c>
      <c r="L67" s="2240">
        <f>+'CO2 - Cálculos'!AF66</f>
        <v>0</v>
      </c>
      <c r="M67" s="2273"/>
      <c r="N67" s="1888"/>
      <c r="O67" s="1888"/>
      <c r="P67" s="1888"/>
      <c r="Q67" s="1888"/>
      <c r="R67" s="1888"/>
      <c r="S67" s="1888"/>
      <c r="T67" s="1888"/>
    </row>
    <row r="68" spans="1:20" ht="18" customHeight="1" x14ac:dyDescent="0.25">
      <c r="A68" s="1888"/>
      <c r="B68" s="2301" t="str">
        <f>+'CO2 - Cálculos'!AC22</f>
        <v>Alumínio</v>
      </c>
      <c r="C68" s="2240">
        <f>+'CO2 - Cálculos'!AF22</f>
        <v>580.04339999999991</v>
      </c>
      <c r="D68" s="2273"/>
      <c r="E68" s="1888"/>
      <c r="F68" s="1888"/>
      <c r="G68" s="1888"/>
      <c r="H68" s="1888"/>
      <c r="I68" s="1888"/>
      <c r="J68" s="2360"/>
      <c r="K68" s="2300" t="str">
        <f>+'CO2 - Cálculos'!AC67</f>
        <v>CDR seco + rejeito aterro</v>
      </c>
      <c r="L68" s="2240">
        <f>+'CO2 - Cálculos'!AF67</f>
        <v>9878.871077030024</v>
      </c>
      <c r="M68" s="2273"/>
      <c r="N68" s="1888"/>
      <c r="O68" s="1888"/>
      <c r="P68" s="1888"/>
      <c r="Q68" s="1888"/>
      <c r="R68" s="1888"/>
      <c r="S68" s="1888"/>
      <c r="T68" s="1888"/>
    </row>
    <row r="69" spans="1:20" ht="18" customHeight="1" x14ac:dyDescent="0.25">
      <c r="A69" s="2232"/>
      <c r="B69" s="2301" t="str">
        <f>+'CO2 - Cálculos'!AC23</f>
        <v>Têxteis</v>
      </c>
      <c r="C69" s="2240">
        <f>+'CO2 - Cálculos'!AF23</f>
        <v>0</v>
      </c>
      <c r="D69" s="2273"/>
      <c r="E69" s="1888"/>
      <c r="F69" s="1888"/>
      <c r="G69" s="1888"/>
      <c r="H69" s="1888"/>
      <c r="I69" s="1888"/>
      <c r="J69" s="2360"/>
      <c r="K69" s="2300" t="str">
        <f>+'CO2 - Cálculos'!AC68</f>
        <v>CDR seco + trat. biol.</v>
      </c>
      <c r="L69" s="2240">
        <f>+'CO2 - Cálculos'!AF68</f>
        <v>7289.5189941719445</v>
      </c>
      <c r="M69" s="2273"/>
      <c r="N69" s="1888"/>
      <c r="O69" s="1888"/>
      <c r="P69" s="1888"/>
      <c r="Q69" s="1888"/>
      <c r="R69" s="1888"/>
      <c r="S69" s="1888"/>
      <c r="T69" s="1888"/>
    </row>
    <row r="70" spans="1:20" ht="18" customHeight="1" x14ac:dyDescent="0.25">
      <c r="A70" s="1888"/>
      <c r="B70" s="2361" t="s">
        <v>1256</v>
      </c>
      <c r="C70" s="2273"/>
      <c r="D70" s="2238"/>
      <c r="E70" s="1888"/>
      <c r="F70" s="1888"/>
      <c r="G70" s="1888"/>
      <c r="H70" s="1888"/>
      <c r="I70" s="1888"/>
      <c r="J70" s="1888"/>
      <c r="K70" s="2300" t="str">
        <f>+'CO2 - Cálculos'!AC69</f>
        <v>CDR seco + CDR org.</v>
      </c>
      <c r="L70" s="2240">
        <f>+'CO2 - Cálculos'!AF69</f>
        <v>0</v>
      </c>
      <c r="M70" s="2273"/>
      <c r="N70" s="1888"/>
      <c r="O70" s="1888"/>
      <c r="P70" s="1888"/>
      <c r="Q70" s="1888"/>
      <c r="R70" s="1888"/>
      <c r="S70" s="1888"/>
      <c r="T70" s="1888"/>
    </row>
    <row r="71" spans="1:20" ht="18" customHeight="1" x14ac:dyDescent="0.25">
      <c r="A71" s="1888"/>
      <c r="B71" s="2298" t="str">
        <f>+'CO2 - Cálculos'!AC25</f>
        <v>Resíduos de alimentos</v>
      </c>
      <c r="C71" s="2240">
        <f>+'CO2 - Cálculos'!AF25</f>
        <v>0</v>
      </c>
      <c r="D71" s="2273"/>
      <c r="E71" s="1888"/>
      <c r="F71" s="1888"/>
      <c r="G71" s="1888"/>
      <c r="H71" s="1888"/>
      <c r="I71" s="1888"/>
      <c r="J71" s="1888"/>
      <c r="K71" s="2300" t="str">
        <f>+'CO2 - Cálculos'!AC70</f>
        <v>Incineração</v>
      </c>
      <c r="L71" s="2240">
        <f>+'CO2 - Cálculos'!AF70</f>
        <v>0</v>
      </c>
      <c r="M71" s="2273"/>
      <c r="N71" s="1888"/>
      <c r="O71" s="1888"/>
      <c r="P71" s="1888"/>
      <c r="Q71" s="1888"/>
      <c r="R71" s="1888"/>
      <c r="S71" s="1888"/>
      <c r="T71" s="1888"/>
    </row>
    <row r="72" spans="1:20" ht="18" customHeight="1" x14ac:dyDescent="0.25">
      <c r="A72" s="1888"/>
      <c r="B72" s="2298" t="str">
        <f>+'CO2 - Cálculos'!AC26</f>
        <v>Resíduos de jardins e parques</v>
      </c>
      <c r="C72" s="2240">
        <f>+'CO2 - Cálculos'!AF26</f>
        <v>0</v>
      </c>
      <c r="D72" s="2273"/>
      <c r="E72" s="1888"/>
      <c r="F72" s="1888"/>
      <c r="G72" s="1888"/>
      <c r="H72" s="1888"/>
      <c r="I72" s="1888"/>
      <c r="J72" s="1888"/>
      <c r="K72" s="2362" t="s">
        <v>1256</v>
      </c>
      <c r="L72" s="2273"/>
      <c r="M72" s="2273"/>
      <c r="N72" s="1888"/>
      <c r="O72" s="1888"/>
      <c r="P72" s="1888"/>
      <c r="Q72" s="1888"/>
      <c r="R72" s="1888"/>
      <c r="S72" s="1888"/>
      <c r="T72" s="1888"/>
    </row>
    <row r="73" spans="1:20" ht="18" customHeight="1" x14ac:dyDescent="0.25">
      <c r="A73" s="1888"/>
      <c r="B73" s="2298" t="str">
        <f>+'CO2 - Cálculos'!AC27</f>
        <v>Papel, papelão</v>
      </c>
      <c r="C73" s="2240">
        <f>+'CO2 - Cálculos'!AF27</f>
        <v>-9859.1469840000009</v>
      </c>
      <c r="D73" s="2273"/>
      <c r="E73" s="1888"/>
      <c r="F73" s="1888"/>
      <c r="G73" s="1888"/>
      <c r="H73" s="1888"/>
      <c r="I73" s="1888"/>
      <c r="J73" s="1888"/>
      <c r="K73" s="2300" t="str">
        <f>+'CO2 - Cálculos'!AC72</f>
        <v>Resíduos dispersos</v>
      </c>
      <c r="L73" s="2240">
        <f>+'CO2 - Cálculos'!AF72</f>
        <v>0</v>
      </c>
      <c r="M73" s="2273"/>
      <c r="N73" s="1888"/>
      <c r="O73" s="1888"/>
      <c r="P73" s="1888"/>
      <c r="Q73" s="1888"/>
      <c r="R73" s="1888"/>
      <c r="S73" s="1888"/>
      <c r="T73" s="1888"/>
    </row>
    <row r="74" spans="1:20" ht="18" customHeight="1" x14ac:dyDescent="0.25">
      <c r="A74" s="1888"/>
      <c r="B74" s="2298" t="str">
        <f>+'CO2 - Cálculos'!AC28</f>
        <v>Plásticos</v>
      </c>
      <c r="C74" s="2240">
        <f>+'CO2 - Cálculos'!AF28</f>
        <v>-8281.2747600000002</v>
      </c>
      <c r="D74" s="2273"/>
      <c r="E74" s="1888"/>
      <c r="F74" s="1888"/>
      <c r="G74" s="1888"/>
      <c r="H74" s="1888"/>
      <c r="I74" s="1888"/>
      <c r="J74" s="1888"/>
      <c r="K74" s="2300" t="str">
        <f>+'CO2 - Cálculos'!AC73</f>
        <v>Queima a céu aberto</v>
      </c>
      <c r="L74" s="2240">
        <f>+'CO2 - Cálculos'!AF73</f>
        <v>0</v>
      </c>
      <c r="M74" s="2273"/>
      <c r="N74" s="1888"/>
      <c r="O74" s="1888"/>
      <c r="P74" s="1888"/>
      <c r="Q74" s="1888"/>
      <c r="R74" s="1888"/>
      <c r="S74" s="1888"/>
      <c r="T74" s="1888"/>
    </row>
    <row r="75" spans="1:20" ht="18" customHeight="1" x14ac:dyDescent="0.25">
      <c r="A75" s="1888"/>
      <c r="B75" s="2298" t="str">
        <f>+'CO2 - Cálculos'!AC29</f>
        <v>Vidros</v>
      </c>
      <c r="C75" s="2240">
        <f>+'CO2 - Cálculos'!AF29</f>
        <v>0</v>
      </c>
      <c r="D75" s="2273"/>
      <c r="E75" s="1888"/>
      <c r="F75" s="1888"/>
      <c r="G75" s="1888"/>
      <c r="H75" s="1888"/>
      <c r="I75" s="1888"/>
      <c r="J75" s="1888"/>
      <c r="K75" s="2300" t="str">
        <f>+'CO2 - Cálculos'!AC74</f>
        <v>Lixão não controlado</v>
      </c>
      <c r="L75" s="2240">
        <f>+'CO2 - Cálculos'!AF74</f>
        <v>0</v>
      </c>
      <c r="M75" s="2273"/>
      <c r="N75" s="1888"/>
      <c r="O75" s="1888"/>
      <c r="P75" s="1888"/>
      <c r="Q75" s="1888"/>
      <c r="R75" s="1888"/>
      <c r="S75" s="1888"/>
      <c r="T75" s="1888"/>
    </row>
    <row r="76" spans="1:20" ht="18" customHeight="1" x14ac:dyDescent="0.25">
      <c r="A76" s="1888"/>
      <c r="B76" s="2298" t="str">
        <f>+'CO2 - Cálculos'!AC30</f>
        <v>Metais ferrosos</v>
      </c>
      <c r="C76" s="2240">
        <f>+'CO2 - Cálculos'!AF30</f>
        <v>-5461.4512000000004</v>
      </c>
      <c r="D76" s="2273"/>
      <c r="E76" s="1888"/>
      <c r="F76" s="1888"/>
      <c r="G76" s="1888"/>
      <c r="H76" s="1888"/>
      <c r="I76" s="1888"/>
      <c r="J76" s="1888"/>
      <c r="K76" s="2300" t="str">
        <f>+'CO2 - Cálculos'!AC75</f>
        <v>Aterro controlado</v>
      </c>
      <c r="L76" s="2240">
        <f>+'CO2 - Cálculos'!AF75</f>
        <v>0</v>
      </c>
      <c r="M76" s="2273"/>
      <c r="N76" s="1888"/>
      <c r="O76" s="1888"/>
      <c r="P76" s="1888"/>
      <c r="Q76" s="1888"/>
      <c r="R76" s="1888"/>
      <c r="S76" s="1888"/>
      <c r="T76" s="1888"/>
    </row>
    <row r="77" spans="1:20" ht="18" customHeight="1" x14ac:dyDescent="0.25">
      <c r="A77" s="1888"/>
      <c r="B77" s="2298" t="str">
        <f>+'CO2 - Cálculos'!AC31</f>
        <v>Alumínio</v>
      </c>
      <c r="C77" s="2240">
        <f>+'CO2 - Cálculos'!AF31</f>
        <v>-8222.1359999999986</v>
      </c>
      <c r="D77" s="2273"/>
      <c r="E77" s="1888"/>
      <c r="F77" s="1888"/>
      <c r="G77" s="1888"/>
      <c r="H77" s="1888"/>
      <c r="I77" s="1888"/>
      <c r="J77" s="2360"/>
      <c r="K77" s="2300" t="str">
        <f>+'CO2 - Cálculos'!AC76</f>
        <v>Aterro sanitário</v>
      </c>
      <c r="L77" s="2240">
        <f>+'CO2 - Cálculos'!AF76</f>
        <v>0</v>
      </c>
      <c r="M77" s="2273"/>
      <c r="N77" s="1888"/>
      <c r="O77" s="1888"/>
      <c r="P77" s="1888"/>
      <c r="Q77" s="1888"/>
      <c r="R77" s="1888"/>
      <c r="S77" s="1888"/>
      <c r="T77" s="1888"/>
    </row>
    <row r="78" spans="1:20" ht="18" customHeight="1" x14ac:dyDescent="0.25">
      <c r="A78" s="1888"/>
      <c r="B78" s="2298" t="str">
        <f>+'CO2 - Cálculos'!AC32</f>
        <v>Têxteis</v>
      </c>
      <c r="C78" s="2240">
        <f>+'CO2 - Cálculos'!AF32</f>
        <v>0</v>
      </c>
      <c r="D78" s="2273"/>
      <c r="E78" s="1888"/>
      <c r="F78" s="1888"/>
      <c r="G78" s="1888"/>
      <c r="H78" s="1888"/>
      <c r="I78" s="1888"/>
      <c r="K78" s="2300" t="str">
        <f>+'CO2 - Cálculos'!AC77</f>
        <v>Trat. biol + cobertura at.</v>
      </c>
      <c r="L78" s="2240">
        <f>+'CO2 - Cálculos'!AF77</f>
        <v>0</v>
      </c>
      <c r="M78" s="2273"/>
      <c r="N78" s="1888"/>
      <c r="O78" s="1888"/>
      <c r="P78" s="1888"/>
      <c r="Q78" s="1888"/>
      <c r="R78" s="1888"/>
      <c r="S78" s="1888"/>
      <c r="T78" s="1888"/>
    </row>
    <row r="79" spans="1:20" ht="18" customHeight="1" x14ac:dyDescent="0.25">
      <c r="A79" s="1888"/>
      <c r="B79" s="2363" t="s">
        <v>1257</v>
      </c>
      <c r="C79" s="2273"/>
      <c r="D79" s="2238"/>
      <c r="E79" s="1888"/>
      <c r="F79" s="1888"/>
      <c r="G79" s="1888"/>
      <c r="H79" s="1888"/>
      <c r="I79" s="1888"/>
      <c r="J79" s="2360"/>
      <c r="K79" s="2300" t="str">
        <f>+'CO2 - Cálculos'!AC78</f>
        <v>CDR seco + rejeito aterro</v>
      </c>
      <c r="L79" s="2240">
        <f>+'CO2 - Cálculos'!AF78</f>
        <v>-8213.3557915298534</v>
      </c>
      <c r="M79" s="2273"/>
      <c r="N79" s="1888"/>
      <c r="O79" s="1888"/>
      <c r="P79" s="1888"/>
      <c r="Q79" s="1888"/>
      <c r="R79" s="1888"/>
      <c r="S79" s="1888"/>
      <c r="T79" s="1888"/>
    </row>
    <row r="80" spans="1:20" ht="18" customHeight="1" x14ac:dyDescent="0.25">
      <c r="A80" s="1888"/>
      <c r="B80" s="2363" t="s">
        <v>1258</v>
      </c>
      <c r="C80" s="2273"/>
      <c r="D80" s="2240">
        <f>SUM(C62:C69,C71:C78)</f>
        <v>-21262.545896</v>
      </c>
      <c r="E80" s="1888"/>
      <c r="F80" s="1888"/>
      <c r="G80" s="1888"/>
      <c r="H80" s="1888"/>
      <c r="I80" s="1888"/>
      <c r="J80" s="1888"/>
      <c r="K80" s="2300" t="str">
        <f>+'CO2 - Cálculos'!AC79</f>
        <v>CDR seco + trat. biol.</v>
      </c>
      <c r="L80" s="2240">
        <f>+'CO2 - Cálculos'!AF79</f>
        <v>-41186.708432916232</v>
      </c>
      <c r="M80" s="2273"/>
      <c r="N80" s="1888"/>
      <c r="O80" s="1888"/>
      <c r="P80" s="1888"/>
      <c r="Q80" s="1888"/>
      <c r="R80" s="1888"/>
      <c r="S80" s="1888"/>
      <c r="T80" s="1888"/>
    </row>
    <row r="81" spans="1:20" ht="14.25" x14ac:dyDescent="0.25">
      <c r="A81" s="1888"/>
      <c r="B81" s="1888"/>
      <c r="C81" s="1888"/>
      <c r="D81" s="1888"/>
      <c r="E81" s="1888"/>
      <c r="F81" s="1888"/>
      <c r="G81" s="1888"/>
      <c r="H81" s="1888"/>
      <c r="I81" s="1888"/>
      <c r="J81" s="1888"/>
      <c r="K81" s="2300" t="str">
        <f>+'CO2 - Cálculos'!AC80</f>
        <v>CDR seco + CDR org.</v>
      </c>
      <c r="L81" s="2240">
        <f>+'CO2 - Cálculos'!AF80</f>
        <v>0</v>
      </c>
      <c r="M81" s="2273"/>
      <c r="N81" s="1888"/>
      <c r="O81" s="1888"/>
      <c r="P81" s="1888"/>
      <c r="Q81" s="1888"/>
      <c r="R81" s="1888"/>
      <c r="S81" s="1888"/>
      <c r="T81" s="1888"/>
    </row>
    <row r="82" spans="1:20" ht="14.25" x14ac:dyDescent="0.25">
      <c r="A82" s="1888"/>
      <c r="B82" s="1888"/>
      <c r="C82" s="1888"/>
      <c r="D82" s="1888"/>
      <c r="E82" s="2265"/>
      <c r="F82" s="1888"/>
      <c r="G82" s="1888"/>
      <c r="H82" s="1888"/>
      <c r="I82" s="1888"/>
      <c r="J82" s="1888"/>
      <c r="K82" s="2300" t="str">
        <f>+'CO2 - Cálculos'!AC81</f>
        <v>Incineração</v>
      </c>
      <c r="L82" s="2240">
        <f>+'CO2 - Cálculos'!AF81</f>
        <v>0</v>
      </c>
      <c r="M82" s="2273"/>
      <c r="N82" s="1888"/>
      <c r="O82" s="1888"/>
      <c r="P82" s="1888"/>
      <c r="Q82" s="1888"/>
      <c r="R82" s="1888"/>
      <c r="S82" s="1888"/>
      <c r="T82" s="1888"/>
    </row>
    <row r="83" spans="1:20" ht="14.25" x14ac:dyDescent="0.25">
      <c r="A83" s="1888"/>
      <c r="B83" s="1888"/>
      <c r="C83" s="1888"/>
      <c r="D83" s="1888"/>
      <c r="E83" s="2265"/>
      <c r="F83" s="1888"/>
      <c r="G83" s="1888"/>
      <c r="H83" s="1888"/>
      <c r="I83" s="1888"/>
      <c r="J83" s="1888"/>
      <c r="K83" s="2302" t="s">
        <v>1257</v>
      </c>
      <c r="L83" s="2273"/>
      <c r="M83" s="2273"/>
      <c r="N83" s="1888"/>
      <c r="O83" s="1888"/>
      <c r="P83" s="1888"/>
      <c r="Q83" s="1888"/>
      <c r="R83" s="1888"/>
      <c r="S83" s="1888"/>
      <c r="T83" s="1888"/>
    </row>
    <row r="84" spans="1:20" ht="14.25" x14ac:dyDescent="0.25">
      <c r="A84" s="1888"/>
      <c r="B84" s="1888"/>
      <c r="C84" s="1888"/>
      <c r="D84" s="1888"/>
      <c r="E84" s="2265"/>
      <c r="F84" s="1888"/>
      <c r="G84" s="1888"/>
      <c r="H84" s="1888"/>
      <c r="I84" s="1888"/>
      <c r="J84" s="1888"/>
      <c r="K84" s="2302" t="s">
        <v>1258</v>
      </c>
      <c r="L84" s="2273"/>
      <c r="M84" s="2240">
        <f>SUM(L62:L71,L73:L82)</f>
        <v>21749.272554694362</v>
      </c>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682F3-14BB-4EF8-941E-3DE8B3D80C32}">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 style="1844" customWidth="1"/>
    <col min="4" max="4" width="15.42578125" style="1844" bestFit="1" customWidth="1"/>
    <col min="5" max="5" width="16.140625" style="1844" customWidth="1"/>
    <col min="6" max="7" width="11.42578125" style="1844"/>
    <col min="8" max="8" width="17.7109375" style="1844" bestFit="1" customWidth="1"/>
    <col min="9" max="9" width="22.85546875" style="1844" bestFit="1" customWidth="1"/>
    <col min="10" max="10" width="12" style="1844" customWidth="1"/>
    <col min="11" max="11" width="34.42578125" style="1844" customWidth="1"/>
    <col min="12" max="12" width="19.5703125" style="1844" bestFit="1" customWidth="1"/>
    <col min="13" max="13" width="10.85546875" style="1844" customWidth="1"/>
    <col min="14" max="16384" width="11.42578125" style="1844"/>
  </cols>
  <sheetData>
    <row r="1" spans="1:20" s="2227" customFormat="1" ht="26.1" customHeight="1" x14ac:dyDescent="0.2">
      <c r="A1" s="1910" t="s">
        <v>1236</v>
      </c>
      <c r="B1" s="1983"/>
      <c r="C1" s="1983"/>
      <c r="D1" s="1983"/>
      <c r="E1" s="1983"/>
      <c r="F1" s="2303"/>
      <c r="G1" s="2303"/>
      <c r="H1" s="2303"/>
      <c r="I1" s="2303"/>
      <c r="J1" s="2303"/>
      <c r="K1" s="2226"/>
      <c r="L1" s="2226"/>
      <c r="M1" s="2226"/>
      <c r="N1" s="2226"/>
      <c r="O1" s="2226"/>
      <c r="P1" s="2226"/>
      <c r="Q1" s="2226"/>
      <c r="R1" s="2226"/>
      <c r="S1" s="2226"/>
      <c r="T1" s="2226"/>
    </row>
    <row r="2" spans="1:20" ht="14.25" customHeight="1" x14ac:dyDescent="0.25">
      <c r="A2" s="2228"/>
      <c r="B2" s="2229"/>
      <c r="C2" s="2028"/>
      <c r="D2" s="2028"/>
      <c r="E2" s="2028"/>
      <c r="F2" s="2028"/>
      <c r="G2" s="2028"/>
      <c r="H2" s="2028"/>
      <c r="I2" s="2028"/>
      <c r="J2" s="2028"/>
      <c r="K2" s="1888"/>
      <c r="L2" s="1888"/>
      <c r="M2" s="1888"/>
      <c r="N2" s="1888"/>
      <c r="O2" s="1888"/>
      <c r="P2" s="1888"/>
      <c r="Q2" s="1888"/>
      <c r="R2" s="1888"/>
      <c r="S2" s="1888"/>
      <c r="T2" s="1888"/>
    </row>
    <row r="3" spans="1:20" ht="18" customHeight="1" x14ac:dyDescent="0.2">
      <c r="A3" s="1888"/>
      <c r="B3" s="2304" t="s">
        <v>1237</v>
      </c>
      <c r="C3" s="2305">
        <f>+'CO2 - Cálculos'!AE58</f>
        <v>146000</v>
      </c>
      <c r="D3" s="2232"/>
      <c r="E3" s="2232"/>
      <c r="F3" s="1888"/>
      <c r="G3" s="1888"/>
      <c r="H3" s="1888"/>
      <c r="I3" s="1888"/>
      <c r="J3" s="1888"/>
      <c r="K3" s="1888"/>
      <c r="L3" s="1888"/>
      <c r="M3" s="1888"/>
      <c r="N3" s="1888"/>
      <c r="O3" s="1888"/>
      <c r="P3" s="1888"/>
      <c r="Q3" s="1888"/>
      <c r="R3" s="1888"/>
      <c r="S3" s="1888"/>
      <c r="T3" s="1888"/>
    </row>
    <row r="4" spans="1:20" ht="18" customHeight="1" x14ac:dyDescent="0.2">
      <c r="A4" s="1888"/>
      <c r="B4" s="1906"/>
      <c r="C4" s="2306"/>
      <c r="D4" s="2235"/>
      <c r="E4" s="2235"/>
      <c r="F4" s="1888"/>
      <c r="G4" s="1888"/>
      <c r="H4" s="1888"/>
      <c r="I4" s="1888"/>
      <c r="J4" s="1888"/>
      <c r="K4" s="1888"/>
      <c r="L4" s="1888"/>
      <c r="M4" s="2307"/>
      <c r="N4" s="2307"/>
      <c r="O4" s="2307"/>
      <c r="P4" s="2307"/>
      <c r="Q4" s="2307"/>
      <c r="R4" s="2307"/>
      <c r="S4" s="1888"/>
      <c r="T4" s="1888"/>
    </row>
    <row r="5" spans="1:20" ht="18" customHeight="1" x14ac:dyDescent="0.25">
      <c r="A5" s="1888"/>
      <c r="B5" s="2304" t="s">
        <v>1238</v>
      </c>
      <c r="C5" s="2305">
        <f>+'CO2 - Cálculos'!AE13</f>
        <v>14727.458000000001</v>
      </c>
      <c r="D5" s="2232"/>
      <c r="E5" s="2232"/>
      <c r="F5" s="1888"/>
      <c r="G5" s="1888"/>
      <c r="H5" s="1888"/>
      <c r="I5" s="1888"/>
      <c r="J5" s="1888"/>
      <c r="K5" s="1888"/>
      <c r="L5" s="1955"/>
      <c r="M5" s="1955"/>
      <c r="N5" s="1955"/>
      <c r="O5" s="2971" t="s">
        <v>1263</v>
      </c>
      <c r="P5" s="2972"/>
      <c r="Q5" s="1955"/>
      <c r="R5" s="1955"/>
      <c r="S5" s="1888"/>
      <c r="T5" s="1888"/>
    </row>
    <row r="6" spans="1:20" ht="18" customHeight="1" x14ac:dyDescent="0.25">
      <c r="A6" s="1888"/>
      <c r="B6" s="2308"/>
      <c r="C6" s="2309"/>
      <c r="D6" s="2232"/>
      <c r="E6" s="2232"/>
      <c r="F6" s="1888"/>
      <c r="G6" s="1888"/>
      <c r="H6" s="1888"/>
      <c r="I6" s="1888"/>
      <c r="J6" s="1888"/>
      <c r="K6" s="1888"/>
      <c r="L6" s="1955"/>
      <c r="M6" s="1955"/>
      <c r="N6" s="1955"/>
      <c r="O6" s="2973">
        <f>+C3</f>
        <v>146000</v>
      </c>
      <c r="P6" s="2974"/>
      <c r="Q6" s="1955"/>
      <c r="R6" s="1955"/>
      <c r="S6" s="1888"/>
      <c r="T6" s="1888"/>
    </row>
    <row r="7" spans="1:20" ht="18" customHeight="1" x14ac:dyDescent="0.25">
      <c r="A7" s="1888"/>
      <c r="B7" s="2224" t="s">
        <v>1107</v>
      </c>
      <c r="C7" s="2310">
        <f>+'CO2 - Cálculos'!AG5</f>
        <v>0</v>
      </c>
      <c r="D7" s="2232"/>
      <c r="E7" s="2232"/>
      <c r="F7" s="1888"/>
      <c r="G7" s="1888"/>
      <c r="H7" s="1888"/>
      <c r="I7" s="1888"/>
      <c r="J7" s="1888"/>
      <c r="K7" s="1888"/>
      <c r="L7" s="1955"/>
      <c r="M7" s="1975"/>
      <c r="N7" s="1955"/>
      <c r="O7" s="1955"/>
      <c r="P7" s="1955"/>
      <c r="Q7" s="1955"/>
      <c r="R7" s="1955"/>
      <c r="S7" s="1888"/>
      <c r="T7" s="1888"/>
    </row>
    <row r="8" spans="1:20" ht="18" customHeight="1" x14ac:dyDescent="0.2">
      <c r="A8" s="1888"/>
      <c r="B8" s="2224" t="s">
        <v>1108</v>
      </c>
      <c r="C8" s="2310">
        <f>+'CO2 - Cálculos'!AG6</f>
        <v>0</v>
      </c>
      <c r="D8" s="2232"/>
      <c r="E8" s="2232"/>
      <c r="F8" s="1888"/>
      <c r="G8" s="1888"/>
      <c r="H8" s="1888"/>
      <c r="I8" s="1888"/>
      <c r="J8" s="1888"/>
      <c r="K8" s="1888"/>
      <c r="L8" s="2311"/>
      <c r="M8" s="2311"/>
      <c r="N8" s="2311"/>
      <c r="O8" s="2311"/>
      <c r="P8" s="2311"/>
      <c r="Q8" s="2311"/>
      <c r="R8" s="2311"/>
      <c r="S8" s="1888"/>
      <c r="T8" s="1888"/>
    </row>
    <row r="9" spans="1:20" ht="18" customHeight="1" x14ac:dyDescent="0.2">
      <c r="A9" s="1888"/>
      <c r="B9" s="2224" t="s">
        <v>1109</v>
      </c>
      <c r="C9" s="2310">
        <f>+'CO2 - Cálculos'!AG7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888"/>
      <c r="T9" s="1888"/>
    </row>
    <row r="10" spans="1:20" ht="18" customHeight="1" x14ac:dyDescent="0.2">
      <c r="A10" s="1888"/>
      <c r="B10" s="2224" t="s">
        <v>1110</v>
      </c>
      <c r="C10" s="2310">
        <f>+'CO2 - Cálculos'!AG8</f>
        <v>4336.2</v>
      </c>
      <c r="D10" s="2232"/>
      <c r="E10" s="2232"/>
      <c r="F10" s="1888"/>
      <c r="G10" s="1888"/>
      <c r="H10" s="1888"/>
      <c r="I10" s="1888"/>
      <c r="J10" s="1888"/>
      <c r="K10" s="1888"/>
      <c r="L10" s="2311"/>
      <c r="M10" s="2317"/>
      <c r="N10" s="2318"/>
      <c r="O10" s="2311"/>
      <c r="P10" s="2311"/>
      <c r="Q10" s="2318"/>
      <c r="R10" s="2317"/>
      <c r="S10" s="1888"/>
      <c r="T10" s="1888"/>
    </row>
    <row r="11" spans="1:20" ht="18" customHeight="1" x14ac:dyDescent="0.2">
      <c r="A11" s="1888"/>
      <c r="B11" s="2224" t="s">
        <v>50</v>
      </c>
      <c r="C11" s="2310">
        <f>+'CO2 - Cálculos'!AG9</f>
        <v>0</v>
      </c>
      <c r="D11" s="2232"/>
      <c r="E11" s="2232"/>
      <c r="F11" s="1888"/>
      <c r="G11" s="1888"/>
      <c r="H11" s="1888"/>
      <c r="I11" s="1888"/>
      <c r="J11" s="1888"/>
      <c r="K11" s="1888"/>
      <c r="L11" s="2311"/>
      <c r="M11" s="1864" t="str">
        <f t="shared" ref="M11:N18" si="0">+B7</f>
        <v>Resíduos de alimentos</v>
      </c>
      <c r="N11" s="2319">
        <f t="shared" si="0"/>
        <v>0</v>
      </c>
      <c r="O11" s="2320">
        <f t="shared" ref="O11:O18" si="1">+N11/$N$9</f>
        <v>0</v>
      </c>
      <c r="P11" s="2321">
        <f t="shared" ref="P11:P19" si="2">+Q11/$Q$9</f>
        <v>0</v>
      </c>
      <c r="Q11" s="2322">
        <f t="shared" ref="Q11:Q19" si="3">+C18</f>
        <v>0</v>
      </c>
      <c r="R11" s="2316" t="str">
        <f t="shared" ref="R11:R19" si="4">+B18</f>
        <v>Resíduos dispersos</v>
      </c>
      <c r="S11" s="1888"/>
      <c r="T11" s="1888"/>
    </row>
    <row r="12" spans="1:20" ht="18" customHeight="1" x14ac:dyDescent="0.2">
      <c r="A12" s="1888"/>
      <c r="B12" s="2224" t="s">
        <v>1111</v>
      </c>
      <c r="C12" s="2310">
        <f>+'CO2 - Cálculos'!AG10</f>
        <v>3190.1</v>
      </c>
      <c r="D12" s="2232"/>
      <c r="E12" s="2232"/>
      <c r="F12" s="1888"/>
      <c r="G12" s="1888"/>
      <c r="H12" s="1888"/>
      <c r="I12" s="1888"/>
      <c r="J12" s="1888"/>
      <c r="K12" s="1888"/>
      <c r="L12" s="2311"/>
      <c r="M12" s="1864" t="str">
        <f t="shared" si="0"/>
        <v>Resíduos de jardins e parques</v>
      </c>
      <c r="N12" s="2319">
        <f t="shared" si="0"/>
        <v>0</v>
      </c>
      <c r="O12" s="2320">
        <f t="shared" si="1"/>
        <v>0</v>
      </c>
      <c r="P12" s="2321">
        <f t="shared" si="2"/>
        <v>0</v>
      </c>
      <c r="Q12" s="2322">
        <f t="shared" si="3"/>
        <v>0</v>
      </c>
      <c r="R12" s="2316" t="str">
        <f t="shared" si="4"/>
        <v>Queima a céu aberto</v>
      </c>
      <c r="S12" s="1888"/>
      <c r="T12" s="1888"/>
    </row>
    <row r="13" spans="1:20" ht="18" customHeight="1" x14ac:dyDescent="0.2">
      <c r="A13" s="1888"/>
      <c r="B13" s="2224" t="s">
        <v>1112</v>
      </c>
      <c r="C13" s="2310">
        <f>+'CO2 - Cálculos'!AG11</f>
        <v>832.19999999999993</v>
      </c>
      <c r="D13" s="2232"/>
      <c r="E13" s="2232"/>
      <c r="F13" s="1888"/>
      <c r="G13" s="1888"/>
      <c r="H13" s="1888"/>
      <c r="I13" s="1888"/>
      <c r="J13" s="1888"/>
      <c r="K13" s="1888"/>
      <c r="L13" s="2311"/>
      <c r="M13" s="1864" t="str">
        <f t="shared" si="0"/>
        <v>Papel, papelão</v>
      </c>
      <c r="N13" s="2319">
        <f t="shared" si="0"/>
        <v>6368.9580000000005</v>
      </c>
      <c r="O13" s="2320">
        <f t="shared" si="1"/>
        <v>0.4324546707245745</v>
      </c>
      <c r="P13" s="2321">
        <f t="shared" si="2"/>
        <v>0</v>
      </c>
      <c r="Q13" s="2322">
        <f t="shared" si="3"/>
        <v>0</v>
      </c>
      <c r="R13" s="2316" t="str">
        <f t="shared" si="4"/>
        <v>Lixão não controlado</v>
      </c>
      <c r="S13" s="1888"/>
      <c r="T13" s="1888"/>
    </row>
    <row r="14" spans="1:20" ht="18" customHeight="1" x14ac:dyDescent="0.2">
      <c r="A14" s="1888"/>
      <c r="B14" s="2224" t="s">
        <v>1113</v>
      </c>
      <c r="C14" s="2310">
        <f>+'CO2 - Cálculos'!AG12</f>
        <v>0</v>
      </c>
      <c r="D14" s="2232"/>
      <c r="E14" s="2232"/>
      <c r="F14" s="1888"/>
      <c r="G14" s="1888"/>
      <c r="H14" s="1888"/>
      <c r="I14" s="1888"/>
      <c r="J14" s="1888"/>
      <c r="K14" s="1888"/>
      <c r="L14" s="2311"/>
      <c r="M14" s="1864" t="str">
        <f t="shared" si="0"/>
        <v>Plásticos</v>
      </c>
      <c r="N14" s="2319">
        <f t="shared" si="0"/>
        <v>4336.2</v>
      </c>
      <c r="O14" s="2320">
        <f t="shared" si="1"/>
        <v>0.29442962933589761</v>
      </c>
      <c r="P14" s="2321">
        <f t="shared" si="2"/>
        <v>0</v>
      </c>
      <c r="Q14" s="2322">
        <f t="shared" si="3"/>
        <v>0</v>
      </c>
      <c r="R14" s="2316" t="str">
        <f t="shared" si="4"/>
        <v>Aterro controlado</v>
      </c>
      <c r="S14" s="1888"/>
      <c r="T14" s="1888"/>
    </row>
    <row r="15" spans="1:20" ht="18" customHeight="1" x14ac:dyDescent="0.2">
      <c r="A15" s="1888"/>
      <c r="B15" s="1906"/>
      <c r="C15" s="2306"/>
      <c r="D15" s="2232"/>
      <c r="E15" s="2232"/>
      <c r="F15" s="1888"/>
      <c r="G15" s="1888"/>
      <c r="H15" s="1888"/>
      <c r="I15" s="1888"/>
      <c r="J15" s="1888"/>
      <c r="K15" s="1888"/>
      <c r="L15" s="2311"/>
      <c r="M15" s="1864" t="str">
        <f t="shared" si="0"/>
        <v>Vidros</v>
      </c>
      <c r="N15" s="2319">
        <f t="shared" si="0"/>
        <v>0</v>
      </c>
      <c r="O15" s="2320">
        <f t="shared" si="1"/>
        <v>0</v>
      </c>
      <c r="P15" s="2321">
        <f t="shared" si="2"/>
        <v>0.35</v>
      </c>
      <c r="Q15" s="2322">
        <f t="shared" si="3"/>
        <v>45945.389699999992</v>
      </c>
      <c r="R15" s="2316" t="str">
        <f t="shared" si="4"/>
        <v>Aterro sanitário</v>
      </c>
      <c r="S15" s="1888"/>
      <c r="T15" s="1888"/>
    </row>
    <row r="16" spans="1:20" ht="18" customHeight="1" x14ac:dyDescent="0.2">
      <c r="A16" s="1888"/>
      <c r="B16" s="1977" t="s">
        <v>1264</v>
      </c>
      <c r="C16" s="2305">
        <f>+'CO2 - Cálculos'!AE57</f>
        <v>131272.54199999999</v>
      </c>
      <c r="D16" s="2232"/>
      <c r="E16" s="2232"/>
      <c r="F16" s="1888"/>
      <c r="G16" s="1888"/>
      <c r="H16" s="1888"/>
      <c r="I16" s="1888"/>
      <c r="J16" s="1888"/>
      <c r="K16" s="1888"/>
      <c r="L16" s="2311"/>
      <c r="M16" s="1864" t="str">
        <f t="shared" si="0"/>
        <v>Metais ferrosos</v>
      </c>
      <c r="N16" s="2319">
        <f t="shared" si="0"/>
        <v>3190.1</v>
      </c>
      <c r="O16" s="2320">
        <f t="shared" si="1"/>
        <v>0.21660900340031525</v>
      </c>
      <c r="P16" s="2321">
        <f t="shared" si="2"/>
        <v>0</v>
      </c>
      <c r="Q16" s="2322">
        <f t="shared" si="3"/>
        <v>0</v>
      </c>
      <c r="R16" s="2316" t="str">
        <f t="shared" si="4"/>
        <v>Trat. biol + cobertura at.</v>
      </c>
      <c r="S16" s="1888"/>
      <c r="T16" s="1888"/>
    </row>
    <row r="17" spans="1:26" ht="18" customHeight="1" x14ac:dyDescent="0.2">
      <c r="A17" s="1888"/>
      <c r="B17" s="2308"/>
      <c r="C17" s="2309"/>
      <c r="D17" s="2232"/>
      <c r="E17" s="2232"/>
      <c r="F17" s="1888"/>
      <c r="G17" s="1888"/>
      <c r="H17" s="1888"/>
      <c r="I17" s="1888"/>
      <c r="J17" s="1888"/>
      <c r="K17" s="1888"/>
      <c r="L17" s="2311"/>
      <c r="M17" s="1864" t="str">
        <f t="shared" si="0"/>
        <v>Alumínio</v>
      </c>
      <c r="N17" s="2319">
        <f t="shared" si="0"/>
        <v>832.19999999999993</v>
      </c>
      <c r="O17" s="2320">
        <f t="shared" si="1"/>
        <v>5.650669653921267E-2</v>
      </c>
      <c r="P17" s="2321">
        <f t="shared" si="2"/>
        <v>0.125</v>
      </c>
      <c r="Q17" s="2322">
        <f t="shared" si="3"/>
        <v>16409.067749999998</v>
      </c>
      <c r="R17" s="2316" t="str">
        <f t="shared" si="4"/>
        <v>CDR seco + rejeito aterro</v>
      </c>
      <c r="S17" s="1888"/>
      <c r="T17" s="1888"/>
    </row>
    <row r="18" spans="1:26" ht="18" customHeight="1" x14ac:dyDescent="0.2">
      <c r="A18" s="1888"/>
      <c r="B18" s="2224" t="s">
        <v>1242</v>
      </c>
      <c r="C18" s="2310">
        <f>+'CO2 - Cálculos'!AG47</f>
        <v>0</v>
      </c>
      <c r="D18" s="2232"/>
      <c r="E18" s="2232"/>
      <c r="F18" s="1888"/>
      <c r="G18" s="1888"/>
      <c r="H18" s="1888"/>
      <c r="I18" s="1888"/>
      <c r="J18" s="1888"/>
      <c r="K18" s="1888"/>
      <c r="L18" s="2311"/>
      <c r="M18" s="1864" t="str">
        <f t="shared" si="0"/>
        <v>Têxteis</v>
      </c>
      <c r="N18" s="2319">
        <f t="shared" si="0"/>
        <v>0</v>
      </c>
      <c r="O18" s="2320">
        <f t="shared" si="1"/>
        <v>0</v>
      </c>
      <c r="P18" s="2321">
        <f t="shared" si="2"/>
        <v>0.52500000000000002</v>
      </c>
      <c r="Q18" s="2322">
        <f t="shared" si="3"/>
        <v>68918.08455</v>
      </c>
      <c r="R18" s="2316" t="str">
        <f t="shared" si="4"/>
        <v>CDR seco + trat. biol.</v>
      </c>
      <c r="S18" s="1888"/>
      <c r="T18" s="1888"/>
    </row>
    <row r="19" spans="1:26" ht="18" customHeight="1" x14ac:dyDescent="0.2">
      <c r="A19" s="1888"/>
      <c r="B19" s="2224" t="s">
        <v>1243</v>
      </c>
      <c r="C19" s="2310">
        <f>+'CO2 - Cálculos'!AG48</f>
        <v>0</v>
      </c>
      <c r="D19" s="2232"/>
      <c r="E19" s="2232"/>
      <c r="F19" s="1888"/>
      <c r="G19" s="1888"/>
      <c r="H19" s="1888"/>
      <c r="I19" s="1888"/>
      <c r="J19" s="1888"/>
      <c r="K19" s="1888"/>
      <c r="L19" s="2311"/>
      <c r="M19" s="2311"/>
      <c r="N19" s="2311"/>
      <c r="O19" s="2323"/>
      <c r="P19" s="2321">
        <f t="shared" si="2"/>
        <v>0</v>
      </c>
      <c r="Q19" s="2322">
        <f t="shared" si="3"/>
        <v>0</v>
      </c>
      <c r="R19" s="2316" t="str">
        <f t="shared" si="4"/>
        <v>CDR seco + CDR org.</v>
      </c>
      <c r="S19" s="1888"/>
      <c r="T19" s="1888"/>
    </row>
    <row r="20" spans="1:26" ht="18" customHeight="1" x14ac:dyDescent="0.2">
      <c r="A20" s="1888"/>
      <c r="B20" s="2224" t="s">
        <v>1244</v>
      </c>
      <c r="C20" s="2310">
        <f>+'CO2 - Cálculos'!AG49</f>
        <v>0</v>
      </c>
      <c r="D20" s="2232"/>
      <c r="E20" s="2232"/>
      <c r="F20" s="1888"/>
      <c r="G20" s="1888"/>
      <c r="H20" s="1888"/>
      <c r="I20" s="1888"/>
      <c r="J20" s="1888"/>
      <c r="K20" s="1888"/>
      <c r="L20" s="2311"/>
      <c r="M20" s="2311"/>
      <c r="N20" s="2311"/>
      <c r="O20" s="2311"/>
      <c r="P20" s="2321">
        <f>+Q20/$Q$9</f>
        <v>0</v>
      </c>
      <c r="Q20" s="2322">
        <f>+C27</f>
        <v>0</v>
      </c>
      <c r="R20" s="2316" t="str">
        <f>+B27</f>
        <v>Incineração</v>
      </c>
      <c r="S20" s="1888"/>
      <c r="T20" s="1888"/>
    </row>
    <row r="21" spans="1:26" ht="18" customHeight="1" x14ac:dyDescent="0.2">
      <c r="A21" s="1888"/>
      <c r="B21" s="2224" t="s">
        <v>1245</v>
      </c>
      <c r="C21" s="2310">
        <f>+'CO2 - Cálculos'!AG50</f>
        <v>0</v>
      </c>
      <c r="D21" s="2232"/>
      <c r="E21" s="2232"/>
      <c r="F21" s="1888"/>
      <c r="G21" s="1888"/>
      <c r="H21" s="1888"/>
      <c r="I21" s="1888"/>
      <c r="J21" s="1888"/>
      <c r="K21" s="1888"/>
      <c r="L21" s="1888"/>
      <c r="M21" s="1888"/>
      <c r="N21" s="1888"/>
      <c r="O21" s="1888"/>
      <c r="P21" s="1888"/>
      <c r="Q21" s="1888"/>
      <c r="R21" s="1888"/>
      <c r="S21" s="1888"/>
      <c r="T21" s="1888"/>
    </row>
    <row r="22" spans="1:26" ht="18" customHeight="1" x14ac:dyDescent="0.2">
      <c r="A22" s="1888"/>
      <c r="B22" s="2324" t="s">
        <v>64</v>
      </c>
      <c r="C22" s="2310">
        <f>+'CO2 - Cálculos'!AG51</f>
        <v>45945.389699999992</v>
      </c>
      <c r="D22" s="2232"/>
      <c r="E22" s="2232"/>
      <c r="F22" s="1888"/>
      <c r="G22" s="1888"/>
      <c r="H22" s="1888"/>
      <c r="I22" s="1888"/>
      <c r="J22" s="1888"/>
      <c r="K22" s="1888"/>
      <c r="L22" s="1888"/>
      <c r="M22" s="1888"/>
      <c r="N22" s="1888"/>
      <c r="O22" s="1888"/>
      <c r="P22" s="1888"/>
      <c r="Q22" s="1888"/>
      <c r="R22" s="1888"/>
      <c r="S22" s="1888"/>
      <c r="T22" s="1888"/>
    </row>
    <row r="23" spans="1:26" ht="18" customHeight="1" x14ac:dyDescent="0.2">
      <c r="A23" s="1888"/>
      <c r="B23" s="2325" t="s">
        <v>1246</v>
      </c>
      <c r="C23" s="2326">
        <f>+'CO2 - Cálculos'!AG52</f>
        <v>0</v>
      </c>
      <c r="D23" s="2232"/>
      <c r="E23" s="2232"/>
      <c r="F23" s="1888"/>
      <c r="G23" s="1888"/>
      <c r="H23" s="1888"/>
      <c r="I23" s="1888"/>
      <c r="J23" s="1888"/>
      <c r="K23" s="1888"/>
      <c r="L23" s="1888"/>
      <c r="M23" s="1888"/>
      <c r="N23" s="1888"/>
      <c r="O23" s="1888"/>
      <c r="P23" s="1888"/>
      <c r="Q23" s="1888"/>
      <c r="R23" s="1888"/>
      <c r="S23" s="1888"/>
      <c r="T23" s="1888"/>
    </row>
    <row r="24" spans="1:26" ht="18" customHeight="1" x14ac:dyDescent="0.2">
      <c r="A24" s="1888"/>
      <c r="B24" s="2325" t="s">
        <v>1247</v>
      </c>
      <c r="C24" s="2310">
        <f>+'CO2 - Cálculos'!AG53</f>
        <v>16409.067749999998</v>
      </c>
      <c r="D24" s="2232"/>
      <c r="E24" s="2232"/>
      <c r="F24" s="1888"/>
      <c r="G24" s="1888"/>
      <c r="H24" s="1888"/>
      <c r="I24" s="1888"/>
      <c r="J24" s="1888"/>
      <c r="K24" s="1888"/>
      <c r="L24" s="1888"/>
      <c r="M24" s="1888"/>
      <c r="N24" s="1888"/>
      <c r="O24" s="1888"/>
      <c r="P24" s="1888"/>
      <c r="Q24" s="1888"/>
      <c r="R24" s="1888"/>
      <c r="S24" s="1888"/>
      <c r="T24" s="1888"/>
    </row>
    <row r="25" spans="1:26" ht="18" customHeight="1" x14ac:dyDescent="0.2">
      <c r="A25" s="1888"/>
      <c r="B25" s="2325" t="s">
        <v>1248</v>
      </c>
      <c r="C25" s="2310">
        <f>+'CO2 - Cálculos'!AG54</f>
        <v>68918.08455</v>
      </c>
      <c r="D25" s="2232"/>
      <c r="E25" s="2232"/>
      <c r="F25" s="1888"/>
      <c r="G25" s="1888"/>
      <c r="H25" s="1888"/>
      <c r="I25" s="1888"/>
      <c r="J25" s="1888"/>
      <c r="K25" s="1888"/>
      <c r="L25" s="1888"/>
      <c r="M25" s="1888"/>
      <c r="N25" s="1888"/>
      <c r="O25" s="1888"/>
      <c r="P25" s="1888"/>
      <c r="Q25" s="1888"/>
      <c r="R25" s="1888"/>
      <c r="S25" s="1888"/>
      <c r="T25" s="1888"/>
    </row>
    <row r="26" spans="1:26" ht="18" customHeight="1" x14ac:dyDescent="0.2">
      <c r="A26" s="1888"/>
      <c r="B26" s="2325" t="s">
        <v>1249</v>
      </c>
      <c r="C26" s="2310">
        <f>+'CO2 - Cálculos'!AG55</f>
        <v>0</v>
      </c>
      <c r="D26" s="2232"/>
      <c r="E26" s="2232"/>
      <c r="F26" s="1888"/>
      <c r="G26" s="1888"/>
      <c r="H26" s="1888"/>
      <c r="I26" s="1888"/>
      <c r="J26" s="1888"/>
      <c r="K26" s="1888"/>
      <c r="L26" s="1888"/>
      <c r="M26" s="1888"/>
      <c r="N26" s="1888"/>
      <c r="O26" s="1888"/>
      <c r="P26" s="1888"/>
      <c r="Q26" s="1888"/>
      <c r="R26" s="1888"/>
      <c r="S26" s="1888"/>
      <c r="T26" s="1888"/>
    </row>
    <row r="27" spans="1:26" ht="18" customHeight="1" x14ac:dyDescent="0.2">
      <c r="A27" s="1888"/>
      <c r="B27" s="2224" t="s">
        <v>63</v>
      </c>
      <c r="C27" s="2310">
        <f>+'CO2 - Cálculos'!AG56</f>
        <v>0</v>
      </c>
      <c r="D27" s="2232"/>
      <c r="E27" s="2232"/>
      <c r="F27" s="1888"/>
      <c r="G27" s="1888"/>
      <c r="H27" s="1888"/>
      <c r="I27" s="1888"/>
      <c r="J27" s="1888"/>
      <c r="K27" s="1888"/>
      <c r="L27" s="1888"/>
      <c r="M27" s="1888"/>
      <c r="N27" s="1888"/>
      <c r="O27" s="1888"/>
      <c r="P27" s="1888"/>
      <c r="Q27" s="1888"/>
      <c r="R27" s="1888"/>
      <c r="S27" s="1888"/>
      <c r="T27" s="1888"/>
    </row>
    <row r="28" spans="1:26"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26" s="2227" customFormat="1" ht="26.1" customHeight="1" x14ac:dyDescent="0.2">
      <c r="A29" s="2061" t="s">
        <v>1265</v>
      </c>
      <c r="B29" s="2327"/>
      <c r="C29" s="2328"/>
      <c r="D29" s="2328"/>
      <c r="E29" s="2328"/>
      <c r="F29" s="2028"/>
      <c r="G29" s="2028"/>
      <c r="H29" s="2028"/>
      <c r="I29" s="2028"/>
      <c r="J29" s="2028"/>
      <c r="K29" s="2028"/>
      <c r="L29" s="2028"/>
      <c r="M29" s="2028"/>
      <c r="N29" s="2028"/>
      <c r="O29" s="2028"/>
      <c r="P29" s="2028"/>
      <c r="Q29" s="2028"/>
      <c r="R29" s="2028"/>
      <c r="S29" s="2028"/>
      <c r="T29" s="2028"/>
      <c r="U29" s="1843"/>
      <c r="V29" s="1843"/>
      <c r="W29" s="1843"/>
      <c r="X29" s="1843"/>
      <c r="Y29" s="1843"/>
      <c r="Z29" s="1843"/>
    </row>
    <row r="30" spans="1:26"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26" ht="18" customHeight="1" x14ac:dyDescent="0.2">
      <c r="A31" s="1888"/>
      <c r="B31" s="2329"/>
      <c r="C31" s="2330" t="s">
        <v>1251</v>
      </c>
      <c r="D31" s="2077" t="s">
        <v>1252</v>
      </c>
      <c r="E31" s="2077" t="s">
        <v>1253</v>
      </c>
      <c r="F31" s="2331"/>
      <c r="G31" s="2331"/>
      <c r="H31" s="2332"/>
      <c r="I31" s="2331"/>
      <c r="J31" s="2331"/>
      <c r="K31" s="2331"/>
      <c r="L31" s="1888"/>
      <c r="M31" s="1888"/>
      <c r="N31" s="1888"/>
      <c r="O31" s="1888"/>
      <c r="P31" s="1888"/>
      <c r="Q31" s="1888"/>
      <c r="R31" s="1888"/>
      <c r="S31" s="1888"/>
      <c r="T31" s="1888"/>
    </row>
    <row r="32" spans="1:26" ht="18" customHeight="1" x14ac:dyDescent="0.2">
      <c r="A32" s="1888"/>
      <c r="B32" s="2333" t="s">
        <v>1238</v>
      </c>
      <c r="C32" s="2334"/>
      <c r="D32" s="2335"/>
      <c r="E32" s="2335"/>
      <c r="F32" s="2331"/>
      <c r="G32" s="2331"/>
      <c r="H32" s="2331"/>
      <c r="I32" s="2331"/>
      <c r="J32" s="2331"/>
      <c r="K32" s="2331"/>
      <c r="L32" s="1888"/>
      <c r="M32" s="1888"/>
      <c r="N32" s="1888"/>
      <c r="O32" s="1888"/>
      <c r="P32" s="1888"/>
      <c r="Q32" s="1888"/>
      <c r="R32" s="1888"/>
      <c r="S32" s="1888"/>
      <c r="T32" s="1888"/>
    </row>
    <row r="33" spans="1:20" ht="18" customHeight="1" x14ac:dyDescent="0.2">
      <c r="A33" s="1888"/>
      <c r="B33" s="2336"/>
      <c r="C33" s="2335"/>
      <c r="D33" s="2335"/>
      <c r="E33" s="2335"/>
      <c r="F33" s="2331"/>
      <c r="G33" s="2331"/>
      <c r="H33" s="2331"/>
      <c r="I33" s="2331"/>
      <c r="J33" s="2331"/>
      <c r="K33" s="2331"/>
      <c r="L33" s="1888"/>
      <c r="M33" s="1888"/>
      <c r="N33" s="1888"/>
      <c r="O33" s="1888"/>
      <c r="P33" s="1888"/>
      <c r="Q33" s="1888"/>
      <c r="R33" s="1888"/>
      <c r="S33" s="1888"/>
      <c r="T33" s="1888"/>
    </row>
    <row r="34" spans="1:20" ht="18" customHeight="1" x14ac:dyDescent="0.2">
      <c r="A34" s="1888"/>
      <c r="B34" s="2224" t="str">
        <f>B7</f>
        <v>Resíduos de alimentos</v>
      </c>
      <c r="C34" s="2337">
        <f t="shared" ref="C34:C41" si="5">+C62</f>
        <v>0</v>
      </c>
      <c r="D34" s="2337">
        <f t="shared" ref="D34:D41" si="6">+C71</f>
        <v>0</v>
      </c>
      <c r="E34" s="2337">
        <f t="shared" ref="E34:E41" si="7">+D34+C34</f>
        <v>0</v>
      </c>
      <c r="F34" s="2331"/>
      <c r="G34" s="2331"/>
      <c r="H34" s="2331"/>
      <c r="I34" s="2331"/>
      <c r="J34" s="2331"/>
      <c r="K34" s="2331"/>
      <c r="L34" s="1888"/>
      <c r="M34" s="1888"/>
      <c r="N34" s="1888"/>
      <c r="O34" s="1888"/>
      <c r="P34" s="1888"/>
      <c r="Q34" s="1888"/>
      <c r="R34" s="1888"/>
      <c r="S34" s="1888"/>
      <c r="T34" s="1888"/>
    </row>
    <row r="35" spans="1:20" ht="18" customHeight="1" x14ac:dyDescent="0.2">
      <c r="A35" s="1888"/>
      <c r="B35" s="2224" t="str">
        <f t="shared" ref="B35:B41" si="8">B8</f>
        <v>Resíduos de jardins e parques</v>
      </c>
      <c r="C35" s="2337">
        <f t="shared" si="5"/>
        <v>0</v>
      </c>
      <c r="D35" s="2337">
        <f t="shared" si="6"/>
        <v>0</v>
      </c>
      <c r="E35" s="2337">
        <f t="shared" si="7"/>
        <v>0</v>
      </c>
      <c r="F35" s="2331"/>
      <c r="G35" s="2331"/>
      <c r="H35" s="2331"/>
      <c r="I35" s="2331"/>
      <c r="J35" s="2331"/>
      <c r="K35" s="2331"/>
      <c r="L35" s="1888"/>
      <c r="M35" s="1888"/>
      <c r="N35" s="1888"/>
      <c r="O35" s="1888"/>
      <c r="P35" s="1888"/>
      <c r="Q35" s="1888"/>
      <c r="R35" s="1888"/>
      <c r="S35" s="1888"/>
      <c r="T35" s="1888"/>
    </row>
    <row r="36" spans="1:20" ht="18" customHeight="1" x14ac:dyDescent="0.2">
      <c r="A36" s="1888"/>
      <c r="B36" s="2224" t="str">
        <f t="shared" si="8"/>
        <v>Papel, papelão</v>
      </c>
      <c r="C36" s="2337">
        <f t="shared" si="5"/>
        <v>7999.4112480000003</v>
      </c>
      <c r="D36" s="2337">
        <f t="shared" si="6"/>
        <v>-9859.1469840000009</v>
      </c>
      <c r="E36" s="2337">
        <f t="shared" si="7"/>
        <v>-1859.7357360000005</v>
      </c>
      <c r="F36" s="2331"/>
      <c r="G36" s="2331"/>
      <c r="H36" s="2331"/>
      <c r="I36" s="2331"/>
      <c r="J36" s="2331"/>
      <c r="K36" s="2331"/>
      <c r="L36" s="1888"/>
      <c r="M36" s="1888"/>
      <c r="N36" s="1888"/>
      <c r="O36" s="1888"/>
      <c r="P36" s="1888"/>
      <c r="Q36" s="1888"/>
      <c r="R36" s="1888"/>
      <c r="S36" s="1888"/>
      <c r="T36" s="1888"/>
    </row>
    <row r="37" spans="1:20" ht="18" customHeight="1" x14ac:dyDescent="0.2">
      <c r="A37" s="1888"/>
      <c r="B37" s="2224" t="str">
        <f t="shared" si="8"/>
        <v>Plásticos</v>
      </c>
      <c r="C37" s="2337">
        <f t="shared" si="5"/>
        <v>1777.8420000000001</v>
      </c>
      <c r="D37" s="2337">
        <f t="shared" si="6"/>
        <v>-8281.2747600000002</v>
      </c>
      <c r="E37" s="2337">
        <f t="shared" si="7"/>
        <v>-6503.4327599999997</v>
      </c>
      <c r="F37" s="2331"/>
      <c r="G37" s="2331"/>
      <c r="H37" s="2331"/>
      <c r="I37" s="2331"/>
      <c r="J37" s="2331"/>
      <c r="K37" s="2331"/>
      <c r="L37" s="1888"/>
      <c r="M37" s="1888"/>
      <c r="N37" s="1888"/>
      <c r="O37" s="1888"/>
      <c r="P37" s="1888"/>
      <c r="Q37" s="1888"/>
      <c r="R37" s="1888"/>
      <c r="S37" s="1888"/>
      <c r="T37" s="1888"/>
    </row>
    <row r="38" spans="1:20" ht="18" customHeight="1" x14ac:dyDescent="0.2">
      <c r="A38" s="1888"/>
      <c r="B38" s="2224" t="str">
        <f t="shared" si="8"/>
        <v>Vidros</v>
      </c>
      <c r="C38" s="2337">
        <f t="shared" si="5"/>
        <v>0</v>
      </c>
      <c r="D38" s="2337">
        <f t="shared" si="6"/>
        <v>0</v>
      </c>
      <c r="E38" s="2337">
        <f t="shared" si="7"/>
        <v>0</v>
      </c>
      <c r="F38" s="2331"/>
      <c r="G38" s="2331"/>
      <c r="H38" s="2331"/>
      <c r="I38" s="2331"/>
      <c r="J38" s="2331"/>
      <c r="K38" s="2331"/>
      <c r="L38" s="1888"/>
      <c r="M38" s="1888"/>
      <c r="N38" s="1888"/>
      <c r="O38" s="1888"/>
      <c r="P38" s="1888"/>
      <c r="Q38" s="1888"/>
      <c r="R38" s="1888"/>
      <c r="S38" s="1888"/>
      <c r="T38" s="1888"/>
    </row>
    <row r="39" spans="1:20" ht="18" customHeight="1" x14ac:dyDescent="0.2">
      <c r="A39" s="1888"/>
      <c r="B39" s="2224" t="str">
        <f t="shared" si="8"/>
        <v>Metais ferrosos</v>
      </c>
      <c r="C39" s="2337">
        <f t="shared" si="5"/>
        <v>204.16639999999998</v>
      </c>
      <c r="D39" s="2337">
        <f t="shared" si="6"/>
        <v>-5461.4512000000004</v>
      </c>
      <c r="E39" s="2337">
        <f t="shared" si="7"/>
        <v>-5257.2848000000004</v>
      </c>
      <c r="F39" s="2331"/>
      <c r="G39" s="2331"/>
      <c r="H39" s="2331"/>
      <c r="I39" s="2331"/>
      <c r="J39" s="2331"/>
      <c r="K39" s="2331"/>
      <c r="L39" s="1888"/>
      <c r="M39" s="1888"/>
      <c r="N39" s="1888"/>
      <c r="O39" s="1888"/>
      <c r="P39" s="1888"/>
      <c r="Q39" s="1888"/>
      <c r="R39" s="1888"/>
      <c r="S39" s="1888"/>
      <c r="T39" s="1888"/>
    </row>
    <row r="40" spans="1:20" ht="18" customHeight="1" x14ac:dyDescent="0.2">
      <c r="A40" s="1888"/>
      <c r="B40" s="2224" t="str">
        <f t="shared" si="8"/>
        <v>Alumínio</v>
      </c>
      <c r="C40" s="2337">
        <f t="shared" si="5"/>
        <v>580.04339999999991</v>
      </c>
      <c r="D40" s="2337">
        <f t="shared" si="6"/>
        <v>-8222.1359999999986</v>
      </c>
      <c r="E40" s="2337">
        <f t="shared" si="7"/>
        <v>-7642.092599999999</v>
      </c>
      <c r="F40" s="2331"/>
      <c r="G40" s="2331"/>
      <c r="H40" s="2331"/>
      <c r="I40" s="2331"/>
      <c r="J40" s="2331"/>
      <c r="K40" s="2331"/>
      <c r="L40" s="1888"/>
      <c r="M40" s="1888"/>
      <c r="N40" s="1888"/>
      <c r="O40" s="1888"/>
      <c r="P40" s="1888"/>
      <c r="Q40" s="1888"/>
      <c r="R40" s="1888"/>
      <c r="S40" s="1888"/>
      <c r="T40" s="1888"/>
    </row>
    <row r="41" spans="1:20" ht="18" customHeight="1" x14ac:dyDescent="0.2">
      <c r="A41" s="1888"/>
      <c r="B41" s="2224" t="str">
        <f t="shared" si="8"/>
        <v>Têxteis</v>
      </c>
      <c r="C41" s="2337">
        <f t="shared" si="5"/>
        <v>0</v>
      </c>
      <c r="D41" s="2337">
        <f t="shared" si="6"/>
        <v>0</v>
      </c>
      <c r="E41" s="2337">
        <f t="shared" si="7"/>
        <v>0</v>
      </c>
      <c r="F41" s="2331"/>
      <c r="G41" s="2331"/>
      <c r="H41" s="2331"/>
      <c r="I41" s="2331"/>
      <c r="J41" s="2331"/>
      <c r="K41" s="2331"/>
      <c r="L41" s="1888"/>
      <c r="M41" s="1888"/>
      <c r="N41" s="1888"/>
      <c r="O41" s="1888"/>
      <c r="P41" s="1888"/>
      <c r="Q41" s="1888"/>
      <c r="R41" s="1888"/>
      <c r="S41" s="1888"/>
      <c r="T41" s="1888"/>
    </row>
    <row r="42" spans="1:20" ht="18" customHeight="1" x14ac:dyDescent="0.2">
      <c r="A42" s="1888"/>
      <c r="B42" s="2338"/>
      <c r="C42" s="2339"/>
      <c r="D42" s="2340"/>
      <c r="E42" s="2339"/>
      <c r="F42" s="2331"/>
      <c r="G42" s="2331"/>
      <c r="H42" s="2331"/>
      <c r="I42" s="2331"/>
      <c r="J42" s="2331"/>
      <c r="K42" s="2331"/>
      <c r="L42" s="1888"/>
      <c r="M42" s="1888"/>
      <c r="N42" s="1888"/>
      <c r="O42" s="1888"/>
      <c r="P42" s="1888"/>
      <c r="Q42" s="1888"/>
      <c r="R42" s="1888"/>
      <c r="S42" s="1888"/>
      <c r="T42" s="1888"/>
    </row>
    <row r="43" spans="1:20" ht="18" customHeight="1" x14ac:dyDescent="0.2">
      <c r="A43" s="1888"/>
      <c r="B43" s="2341" t="s">
        <v>1264</v>
      </c>
      <c r="C43" s="2342"/>
      <c r="D43" s="2343"/>
      <c r="E43" s="2343"/>
      <c r="F43" s="2331"/>
      <c r="G43" s="2331"/>
      <c r="H43" s="2331"/>
      <c r="I43" s="2331"/>
      <c r="J43" s="2331"/>
      <c r="K43" s="2331"/>
      <c r="L43" s="1888"/>
      <c r="M43" s="1888"/>
      <c r="N43" s="1888"/>
      <c r="O43" s="1888"/>
      <c r="P43" s="1888"/>
      <c r="Q43" s="1888"/>
      <c r="R43" s="1888"/>
      <c r="S43" s="1888"/>
      <c r="T43" s="1888"/>
    </row>
    <row r="44" spans="1:20" ht="18" customHeight="1" x14ac:dyDescent="0.2">
      <c r="A44" s="1888"/>
      <c r="B44" s="2336"/>
      <c r="C44" s="2334"/>
      <c r="D44" s="2334"/>
      <c r="E44" s="2334"/>
      <c r="F44" s="2331"/>
      <c r="G44" s="2331"/>
      <c r="H44" s="2331"/>
      <c r="I44" s="2331"/>
      <c r="J44" s="2331"/>
      <c r="K44" s="2331"/>
      <c r="L44" s="1888"/>
      <c r="M44" s="1888"/>
      <c r="N44" s="1888"/>
      <c r="O44" s="1888"/>
      <c r="P44" s="1888"/>
      <c r="Q44" s="1888"/>
      <c r="R44" s="1888"/>
      <c r="S44" s="1888"/>
      <c r="T44" s="1888"/>
    </row>
    <row r="45" spans="1:20" ht="18" customHeight="1" x14ac:dyDescent="0.2">
      <c r="A45" s="1888"/>
      <c r="B45" s="2224" t="str">
        <f>B18</f>
        <v>Resíduos dispersos</v>
      </c>
      <c r="C45" s="2337">
        <f t="shared" ref="C45:C53" si="9">+L62</f>
        <v>0</v>
      </c>
      <c r="D45" s="2337">
        <f t="shared" ref="D45:D54" si="10">+L73</f>
        <v>0</v>
      </c>
      <c r="E45" s="2337">
        <f t="shared" ref="E45:E53" si="11">+D45+C45</f>
        <v>0</v>
      </c>
      <c r="F45" s="2331"/>
      <c r="G45" s="2331"/>
      <c r="H45" s="2331"/>
      <c r="I45" s="2331"/>
      <c r="J45" s="2331"/>
      <c r="K45" s="2331"/>
      <c r="L45" s="1888"/>
      <c r="M45" s="1888"/>
      <c r="N45" s="1888"/>
      <c r="O45" s="1888"/>
      <c r="P45" s="1888"/>
      <c r="Q45" s="1888"/>
      <c r="R45" s="1888"/>
      <c r="S45" s="1888"/>
      <c r="T45" s="1888"/>
    </row>
    <row r="46" spans="1:20" ht="18" customHeight="1" x14ac:dyDescent="0.2">
      <c r="A46" s="1888"/>
      <c r="B46" s="2224" t="str">
        <f t="shared" ref="B46:B54" si="12">B19</f>
        <v>Queima a céu aberto</v>
      </c>
      <c r="C46" s="2337">
        <f t="shared" si="9"/>
        <v>0</v>
      </c>
      <c r="D46" s="2337">
        <f t="shared" si="10"/>
        <v>0</v>
      </c>
      <c r="E46" s="2337">
        <f t="shared" si="11"/>
        <v>0</v>
      </c>
      <c r="F46" s="2331"/>
      <c r="G46" s="2331"/>
      <c r="H46" s="2331"/>
      <c r="I46" s="2331"/>
      <c r="J46" s="2331"/>
      <c r="K46" s="2331"/>
      <c r="L46" s="1888"/>
      <c r="M46" s="1888"/>
      <c r="N46" s="1888"/>
      <c r="O46" s="1888"/>
      <c r="P46" s="1888"/>
      <c r="Q46" s="1888"/>
      <c r="R46" s="1888"/>
      <c r="S46" s="1888"/>
      <c r="T46" s="1888"/>
    </row>
    <row r="47" spans="1:20" ht="18" customHeight="1" x14ac:dyDescent="0.2">
      <c r="A47" s="1888"/>
      <c r="B47" s="2224" t="str">
        <f t="shared" si="12"/>
        <v>Lixão não controlado</v>
      </c>
      <c r="C47" s="2337">
        <f t="shared" si="9"/>
        <v>0</v>
      </c>
      <c r="D47" s="2337">
        <f t="shared" si="10"/>
        <v>0</v>
      </c>
      <c r="E47" s="2337">
        <f t="shared" si="11"/>
        <v>0</v>
      </c>
      <c r="F47" s="2331"/>
      <c r="G47" s="2331"/>
      <c r="H47" s="2331"/>
      <c r="I47" s="2331"/>
      <c r="J47" s="2331"/>
      <c r="K47" s="2331"/>
      <c r="L47" s="1888"/>
      <c r="M47" s="1888"/>
      <c r="N47" s="1888"/>
      <c r="O47" s="1888"/>
      <c r="P47" s="1888"/>
      <c r="Q47" s="1888"/>
      <c r="R47" s="1888"/>
      <c r="S47" s="1888"/>
      <c r="T47" s="1888"/>
    </row>
    <row r="48" spans="1:20" ht="18" customHeight="1" x14ac:dyDescent="0.2">
      <c r="A48" s="1888"/>
      <c r="B48" s="2224" t="str">
        <f t="shared" si="12"/>
        <v>Aterro controlado</v>
      </c>
      <c r="C48" s="2337">
        <f t="shared" si="9"/>
        <v>0</v>
      </c>
      <c r="D48" s="2337">
        <f t="shared" si="10"/>
        <v>0</v>
      </c>
      <c r="E48" s="2337">
        <f t="shared" si="11"/>
        <v>0</v>
      </c>
      <c r="F48" s="2331"/>
      <c r="G48" s="2331"/>
      <c r="H48" s="2331"/>
      <c r="I48" s="2331"/>
      <c r="J48" s="2331"/>
      <c r="K48" s="2331"/>
      <c r="L48" s="1888"/>
      <c r="M48" s="1888"/>
      <c r="N48" s="1888"/>
      <c r="O48" s="1888"/>
      <c r="P48" s="1888"/>
      <c r="Q48" s="1888"/>
      <c r="R48" s="1888"/>
      <c r="S48" s="1888"/>
      <c r="T48" s="1888"/>
    </row>
    <row r="49" spans="1:21" ht="18" customHeight="1" x14ac:dyDescent="0.2">
      <c r="A49" s="1888"/>
      <c r="B49" s="2224" t="str">
        <f t="shared" si="12"/>
        <v>Aterro sanitário</v>
      </c>
      <c r="C49" s="2337">
        <f t="shared" si="9"/>
        <v>53980.946707938478</v>
      </c>
      <c r="D49" s="2337">
        <f t="shared" si="10"/>
        <v>0</v>
      </c>
      <c r="E49" s="2337">
        <f t="shared" si="11"/>
        <v>53980.946707938478</v>
      </c>
      <c r="F49" s="2331"/>
      <c r="G49" s="2331"/>
      <c r="H49" s="2331"/>
      <c r="I49" s="2331"/>
      <c r="J49" s="2331"/>
      <c r="K49" s="2331"/>
      <c r="L49" s="1888"/>
      <c r="M49" s="1888"/>
      <c r="N49" s="1888"/>
      <c r="O49" s="1888"/>
      <c r="P49" s="1888"/>
      <c r="Q49" s="1888"/>
      <c r="R49" s="1888"/>
      <c r="S49" s="1888"/>
      <c r="T49" s="1888"/>
    </row>
    <row r="50" spans="1:21" ht="18" customHeight="1" x14ac:dyDescent="0.2">
      <c r="A50" s="1888"/>
      <c r="B50" s="2224" t="str">
        <f t="shared" si="12"/>
        <v>Trat. biol + cobertura at.</v>
      </c>
      <c r="C50" s="2337">
        <f t="shared" si="9"/>
        <v>0</v>
      </c>
      <c r="D50" s="2337">
        <f t="shared" si="10"/>
        <v>0</v>
      </c>
      <c r="E50" s="2337">
        <f t="shared" si="11"/>
        <v>0</v>
      </c>
      <c r="F50" s="2331"/>
      <c r="G50" s="2331"/>
      <c r="H50" s="2331"/>
      <c r="I50" s="2331"/>
      <c r="J50" s="2331"/>
      <c r="K50" s="2331"/>
      <c r="L50" s="1888"/>
      <c r="M50" s="1888"/>
      <c r="N50" s="1888"/>
      <c r="O50" s="1888"/>
      <c r="P50" s="1888"/>
      <c r="Q50" s="1888"/>
      <c r="R50" s="1888"/>
      <c r="S50" s="1888"/>
      <c r="T50" s="1888"/>
    </row>
    <row r="51" spans="1:21" ht="18" customHeight="1" x14ac:dyDescent="0.2">
      <c r="A51" s="1888"/>
      <c r="B51" s="2224" t="str">
        <f t="shared" si="12"/>
        <v>CDR seco + rejeito aterro</v>
      </c>
      <c r="C51" s="2337">
        <f t="shared" si="9"/>
        <v>9878.871077030024</v>
      </c>
      <c r="D51" s="2337">
        <f t="shared" si="10"/>
        <v>-8213.3557915298534</v>
      </c>
      <c r="E51" s="2337">
        <f t="shared" si="11"/>
        <v>1665.5152855001706</v>
      </c>
      <c r="F51" s="2331"/>
      <c r="G51" s="2344"/>
      <c r="H51" s="2345"/>
      <c r="I51" s="2345"/>
      <c r="J51" s="2345"/>
      <c r="K51" s="2331"/>
      <c r="L51" s="1888"/>
      <c r="M51" s="1888"/>
      <c r="N51" s="1888"/>
      <c r="O51" s="1888"/>
      <c r="P51" s="1888"/>
      <c r="Q51" s="1888"/>
      <c r="R51" s="1888"/>
      <c r="S51" s="1888"/>
      <c r="T51" s="1888"/>
    </row>
    <row r="52" spans="1:21" ht="18" customHeight="1" x14ac:dyDescent="0.2">
      <c r="A52" s="1888"/>
      <c r="B52" s="2224" t="str">
        <f t="shared" si="12"/>
        <v>CDR seco + trat. biol.</v>
      </c>
      <c r="C52" s="2337">
        <f t="shared" si="9"/>
        <v>6937.3741446002377</v>
      </c>
      <c r="D52" s="2337">
        <f t="shared" si="10"/>
        <v>-34496.094324425387</v>
      </c>
      <c r="E52" s="2337">
        <f t="shared" si="11"/>
        <v>-27558.720179825148</v>
      </c>
      <c r="F52" s="2331"/>
      <c r="G52" s="2346"/>
      <c r="H52" s="2347" t="s">
        <v>1254</v>
      </c>
      <c r="I52" s="2348" t="s">
        <v>1266</v>
      </c>
      <c r="J52" s="2348" t="s">
        <v>1255</v>
      </c>
      <c r="K52" s="2331"/>
      <c r="L52" s="1888"/>
      <c r="M52" s="1888"/>
      <c r="N52" s="1888"/>
      <c r="O52" s="1888"/>
      <c r="P52" s="1888"/>
      <c r="Q52" s="1888"/>
      <c r="R52" s="1888"/>
      <c r="S52" s="1888"/>
      <c r="T52" s="1888"/>
    </row>
    <row r="53" spans="1:21" ht="18" customHeight="1" x14ac:dyDescent="0.2">
      <c r="A53" s="1888"/>
      <c r="B53" s="2224" t="str">
        <f t="shared" si="12"/>
        <v>CDR seco + CDR org.</v>
      </c>
      <c r="C53" s="2337">
        <f t="shared" si="9"/>
        <v>0</v>
      </c>
      <c r="D53" s="2337">
        <f t="shared" si="10"/>
        <v>0</v>
      </c>
      <c r="E53" s="2337">
        <f t="shared" si="11"/>
        <v>0</v>
      </c>
      <c r="F53" s="2331"/>
      <c r="G53" s="2349" t="s">
        <v>1256</v>
      </c>
      <c r="H53" s="2350">
        <f>SUM(C34:C41)</f>
        <v>10561.463048000001</v>
      </c>
      <c r="I53" s="2350">
        <f>SUM(C45:C54)</f>
        <v>70797.19192956874</v>
      </c>
      <c r="J53" s="2350">
        <f>+I53+H53</f>
        <v>81358.654977568745</v>
      </c>
      <c r="K53" s="2331"/>
      <c r="L53" s="1888"/>
      <c r="M53" s="1888"/>
      <c r="N53" s="1888"/>
      <c r="O53" s="1888"/>
      <c r="P53" s="1888"/>
      <c r="Q53" s="1888"/>
      <c r="R53" s="1888"/>
      <c r="S53" s="1888"/>
      <c r="T53" s="1888"/>
    </row>
    <row r="54" spans="1:21" ht="18" customHeight="1" x14ac:dyDescent="0.2">
      <c r="A54" s="1888"/>
      <c r="B54" s="2224" t="str">
        <f t="shared" si="12"/>
        <v>Incineração</v>
      </c>
      <c r="C54" s="2337">
        <f>+L71</f>
        <v>0</v>
      </c>
      <c r="D54" s="2337">
        <f t="shared" si="10"/>
        <v>0</v>
      </c>
      <c r="E54" s="2337">
        <f>+D54+C54</f>
        <v>0</v>
      </c>
      <c r="F54" s="2331"/>
      <c r="G54" s="2349" t="s">
        <v>1257</v>
      </c>
      <c r="H54" s="2350">
        <f>SUM(D34:D41)</f>
        <v>-31824.008943999997</v>
      </c>
      <c r="I54" s="2350">
        <f>SUM(D45:D54)</f>
        <v>-42709.450115955238</v>
      </c>
      <c r="J54" s="2350">
        <f>+I54+H54</f>
        <v>-74533.459059955232</v>
      </c>
      <c r="K54" s="2331"/>
      <c r="L54" s="1888"/>
      <c r="M54" s="1888"/>
      <c r="N54" s="1888"/>
      <c r="O54" s="1888"/>
      <c r="P54" s="1888"/>
      <c r="Q54" s="1888"/>
      <c r="R54" s="1888"/>
      <c r="S54" s="1888"/>
      <c r="T54" s="1888"/>
    </row>
    <row r="55" spans="1:21" ht="18" customHeight="1" x14ac:dyDescent="0.2">
      <c r="A55" s="1888"/>
      <c r="B55" s="2338"/>
      <c r="C55" s="2351"/>
      <c r="D55" s="2352"/>
      <c r="E55" s="2351"/>
      <c r="F55" s="2331"/>
      <c r="G55" s="2349" t="s">
        <v>1258</v>
      </c>
      <c r="H55" s="2350">
        <f>+H53+H54</f>
        <v>-21262.545895999996</v>
      </c>
      <c r="I55" s="2350">
        <f>+I53+I54</f>
        <v>28087.741813613502</v>
      </c>
      <c r="J55" s="2350">
        <f>+I55+H55</f>
        <v>6825.195917613506</v>
      </c>
      <c r="K55" s="2331"/>
      <c r="L55" s="1888"/>
      <c r="M55" s="1888"/>
      <c r="N55" s="1888"/>
      <c r="O55" s="1888"/>
      <c r="P55" s="1888"/>
      <c r="Q55" s="1888"/>
      <c r="R55" s="1888"/>
      <c r="S55" s="1888"/>
      <c r="T55" s="1888"/>
    </row>
    <row r="56" spans="1:21" ht="18" customHeight="1" x14ac:dyDescent="0.2">
      <c r="A56" s="1888"/>
      <c r="B56" s="2341" t="s">
        <v>52</v>
      </c>
      <c r="C56" s="2353">
        <f>SUM(C34:C54)</f>
        <v>81358.654977568745</v>
      </c>
      <c r="D56" s="2353">
        <f>SUM(D34:D54)</f>
        <v>-74533.459059955232</v>
      </c>
      <c r="E56" s="2353">
        <f>+D56+C56</f>
        <v>6825.1959176135133</v>
      </c>
      <c r="F56" s="2331"/>
      <c r="G56" s="2344"/>
      <c r="H56" s="2354"/>
      <c r="I56" s="2354"/>
      <c r="J56" s="2354"/>
      <c r="K56" s="2331"/>
      <c r="L56" s="1888"/>
      <c r="M56" s="1888"/>
      <c r="N56" s="1888"/>
      <c r="O56" s="1888"/>
      <c r="P56" s="1888"/>
      <c r="Q56" s="1888"/>
      <c r="R56" s="1888"/>
      <c r="S56" s="1888"/>
      <c r="T56" s="1888"/>
    </row>
    <row r="57" spans="1:21"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1"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1" s="2227" customFormat="1" ht="26.1" customHeight="1" x14ac:dyDescent="0.25">
      <c r="A59" s="2289" t="s">
        <v>1259</v>
      </c>
      <c r="B59" s="2355"/>
      <c r="C59" s="2355"/>
      <c r="D59" s="2355"/>
      <c r="E59" s="2355"/>
      <c r="F59" s="2226"/>
      <c r="G59" s="1938"/>
      <c r="H59" s="1983"/>
      <c r="I59" s="1983"/>
      <c r="J59" s="1983"/>
      <c r="K59" s="1910" t="s">
        <v>1267</v>
      </c>
      <c r="L59" s="1983"/>
      <c r="M59" s="1983"/>
      <c r="N59" s="1983"/>
      <c r="O59" s="1983"/>
      <c r="P59" s="1938"/>
      <c r="Q59" s="1938"/>
      <c r="R59" s="1938"/>
      <c r="S59" s="1938"/>
      <c r="T59" s="1938"/>
      <c r="U59" s="2356"/>
    </row>
    <row r="60" spans="1:21"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1" ht="18" customHeight="1" x14ac:dyDescent="0.25">
      <c r="A61" s="1888"/>
      <c r="B61" s="2292"/>
      <c r="C61" s="2357" t="s">
        <v>1238</v>
      </c>
      <c r="D61" s="2357" t="s">
        <v>1258</v>
      </c>
      <c r="E61" s="1888"/>
      <c r="F61" s="1888"/>
      <c r="G61" s="1888"/>
      <c r="H61" s="1888"/>
      <c r="I61" s="1888"/>
      <c r="J61" s="1888"/>
      <c r="K61" s="2358"/>
      <c r="L61" s="2359" t="s">
        <v>1266</v>
      </c>
      <c r="M61" s="2357" t="s">
        <v>1258</v>
      </c>
      <c r="N61" s="1888"/>
      <c r="O61" s="1888"/>
      <c r="P61" s="1888"/>
      <c r="Q61" s="1888"/>
      <c r="R61" s="1888"/>
      <c r="S61" s="1888"/>
      <c r="T61" s="1888"/>
    </row>
    <row r="62" spans="1:21" ht="18" customHeight="1" x14ac:dyDescent="0.25">
      <c r="A62" s="1888"/>
      <c r="B62" s="2301" t="str">
        <f>+'CO2 - Cálculos'!AC16</f>
        <v>Resíduos de alimentos</v>
      </c>
      <c r="C62" s="2240">
        <f>+'CO2 - Cálculos'!AG16</f>
        <v>0</v>
      </c>
      <c r="D62" s="2273"/>
      <c r="E62" s="1888"/>
      <c r="F62" s="1888"/>
      <c r="G62" s="1888"/>
      <c r="H62" s="1888"/>
      <c r="I62" s="1888"/>
      <c r="J62" s="1888"/>
      <c r="K62" s="2300" t="str">
        <f>+'CO2 - Cálculos'!AC61</f>
        <v>Resíduos dispersos</v>
      </c>
      <c r="L62" s="2240">
        <f>+'CO2 - Cálculos'!AG61</f>
        <v>0</v>
      </c>
      <c r="M62" s="2273"/>
      <c r="N62" s="1888"/>
      <c r="O62" s="1888"/>
      <c r="P62" s="1888"/>
      <c r="Q62" s="1888"/>
      <c r="R62" s="1888"/>
      <c r="S62" s="1888"/>
      <c r="T62" s="1888"/>
    </row>
    <row r="63" spans="1:21" ht="18" customHeight="1" x14ac:dyDescent="0.25">
      <c r="A63" s="1888"/>
      <c r="B63" s="2301" t="str">
        <f>+'CO2 - Cálculos'!AC17</f>
        <v>Resíduos de jardins e parques</v>
      </c>
      <c r="C63" s="2240">
        <f>+'CO2 - Cálculos'!AG17</f>
        <v>0</v>
      </c>
      <c r="D63" s="2273"/>
      <c r="E63" s="1888"/>
      <c r="F63" s="1888"/>
      <c r="G63" s="1888"/>
      <c r="H63" s="1888"/>
      <c r="I63" s="1888"/>
      <c r="J63" s="1888"/>
      <c r="K63" s="2300" t="str">
        <f>+'CO2 - Cálculos'!AC62</f>
        <v>Queima a céu aberto</v>
      </c>
      <c r="L63" s="2240">
        <f>+'CO2 - Cálculos'!AG62</f>
        <v>0</v>
      </c>
      <c r="M63" s="2273"/>
      <c r="N63" s="1888"/>
      <c r="O63" s="1888"/>
      <c r="P63" s="1888"/>
      <c r="Q63" s="1888"/>
      <c r="R63" s="1888"/>
      <c r="S63" s="1888"/>
      <c r="T63" s="1888"/>
    </row>
    <row r="64" spans="1:21" ht="18" customHeight="1" x14ac:dyDescent="0.25">
      <c r="A64" s="1888"/>
      <c r="B64" s="2301" t="str">
        <f>+'CO2 - Cálculos'!AC18</f>
        <v>Papel, papelão</v>
      </c>
      <c r="C64" s="2240">
        <f>+'CO2 - Cálculos'!AG18</f>
        <v>7999.4112480000003</v>
      </c>
      <c r="D64" s="2273"/>
      <c r="E64" s="1888"/>
      <c r="F64" s="1888"/>
      <c r="G64" s="1888"/>
      <c r="H64" s="1888"/>
      <c r="I64" s="1888"/>
      <c r="J64" s="1888"/>
      <c r="K64" s="2300" t="str">
        <f>+'CO2 - Cálculos'!AC63</f>
        <v>Lixão não controlado</v>
      </c>
      <c r="L64" s="2240">
        <f>+'CO2 - Cálculos'!AG63</f>
        <v>0</v>
      </c>
      <c r="M64" s="2273"/>
      <c r="N64" s="1888"/>
      <c r="O64" s="1888"/>
      <c r="P64" s="1888"/>
      <c r="Q64" s="1888"/>
      <c r="R64" s="1888"/>
      <c r="S64" s="1888"/>
      <c r="T64" s="1888"/>
    </row>
    <row r="65" spans="1:20" ht="18" customHeight="1" x14ac:dyDescent="0.25">
      <c r="A65" s="1888"/>
      <c r="B65" s="2301" t="str">
        <f>+'CO2 - Cálculos'!AC19</f>
        <v>Plásticos</v>
      </c>
      <c r="C65" s="2240">
        <f>+'CO2 - Cálculos'!AG19</f>
        <v>1777.8420000000001</v>
      </c>
      <c r="D65" s="2273"/>
      <c r="E65" s="1888"/>
      <c r="F65" s="1888"/>
      <c r="G65" s="1888"/>
      <c r="H65" s="1888"/>
      <c r="I65" s="1888"/>
      <c r="J65" s="1888"/>
      <c r="K65" s="2300" t="str">
        <f>+'CO2 - Cálculos'!AC64</f>
        <v>Aterro controlado</v>
      </c>
      <c r="L65" s="2240">
        <f>+'CO2 - Cálculos'!AG64</f>
        <v>0</v>
      </c>
      <c r="M65" s="2273"/>
      <c r="N65" s="1888"/>
      <c r="O65" s="1888"/>
      <c r="P65" s="1888"/>
      <c r="Q65" s="1888"/>
      <c r="R65" s="1888"/>
      <c r="S65" s="1888"/>
      <c r="T65" s="1888"/>
    </row>
    <row r="66" spans="1:20" ht="18" customHeight="1" x14ac:dyDescent="0.25">
      <c r="A66" s="1888"/>
      <c r="B66" s="2301" t="str">
        <f>+'CO2 - Cálculos'!AC20</f>
        <v>Vidros</v>
      </c>
      <c r="C66" s="2240">
        <f>+'CO2 - Cálculos'!AG20</f>
        <v>0</v>
      </c>
      <c r="D66" s="2273"/>
      <c r="E66" s="1888"/>
      <c r="F66" s="1888"/>
      <c r="G66" s="1888"/>
      <c r="H66" s="1888"/>
      <c r="I66" s="1888"/>
      <c r="J66" s="1888"/>
      <c r="K66" s="2300" t="str">
        <f>+'CO2 - Cálculos'!AC65</f>
        <v>Aterro sanitário</v>
      </c>
      <c r="L66" s="2240">
        <f>+'CO2 - Cálculos'!AG65</f>
        <v>53980.946707938478</v>
      </c>
      <c r="M66" s="2273"/>
      <c r="N66" s="1888"/>
      <c r="O66" s="1888"/>
      <c r="P66" s="1888"/>
      <c r="Q66" s="1888"/>
      <c r="R66" s="1888"/>
      <c r="S66" s="1888"/>
      <c r="T66" s="1888"/>
    </row>
    <row r="67" spans="1:20" ht="18" customHeight="1" x14ac:dyDescent="0.25">
      <c r="A67" s="1888"/>
      <c r="B67" s="2301" t="str">
        <f>+'CO2 - Cálculos'!AC21</f>
        <v>Metais ferrosos</v>
      </c>
      <c r="C67" s="2240">
        <f>+'CO2 - Cálculos'!AG21</f>
        <v>204.16639999999998</v>
      </c>
      <c r="D67" s="2273"/>
      <c r="E67" s="1888"/>
      <c r="F67" s="1888"/>
      <c r="G67" s="1888"/>
      <c r="H67" s="1888"/>
      <c r="I67" s="1888"/>
      <c r="J67" s="2360"/>
      <c r="K67" s="2300" t="str">
        <f>+'CO2 - Cálculos'!AC66</f>
        <v>Trat. biol + cobertura at.</v>
      </c>
      <c r="L67" s="2240">
        <f>+'CO2 - Cálculos'!AG66</f>
        <v>0</v>
      </c>
      <c r="M67" s="2273"/>
      <c r="N67" s="1888"/>
      <c r="O67" s="1888"/>
      <c r="P67" s="1888"/>
      <c r="Q67" s="1888"/>
      <c r="R67" s="1888"/>
      <c r="S67" s="1888"/>
      <c r="T67" s="1888"/>
    </row>
    <row r="68" spans="1:20" ht="18" customHeight="1" x14ac:dyDescent="0.25">
      <c r="A68" s="1888"/>
      <c r="B68" s="2301" t="str">
        <f>+'CO2 - Cálculos'!AC22</f>
        <v>Alumínio</v>
      </c>
      <c r="C68" s="2240">
        <f>+'CO2 - Cálculos'!AG22</f>
        <v>580.04339999999991</v>
      </c>
      <c r="D68" s="2273"/>
      <c r="E68" s="1888"/>
      <c r="F68" s="1888"/>
      <c r="G68" s="1888"/>
      <c r="H68" s="1888"/>
      <c r="I68" s="1888"/>
      <c r="J68" s="2360"/>
      <c r="K68" s="2300" t="str">
        <f>+'CO2 - Cálculos'!AC67</f>
        <v>CDR seco + rejeito aterro</v>
      </c>
      <c r="L68" s="2240">
        <f>+'CO2 - Cálculos'!AG67</f>
        <v>9878.871077030024</v>
      </c>
      <c r="M68" s="2273"/>
      <c r="N68" s="1888"/>
      <c r="O68" s="1888"/>
      <c r="P68" s="1888"/>
      <c r="Q68" s="1888"/>
      <c r="R68" s="1888"/>
      <c r="S68" s="1888"/>
      <c r="T68" s="1888"/>
    </row>
    <row r="69" spans="1:20" ht="18" customHeight="1" x14ac:dyDescent="0.25">
      <c r="A69" s="2232"/>
      <c r="B69" s="2301" t="str">
        <f>+'CO2 - Cálculos'!AC23</f>
        <v>Têxteis</v>
      </c>
      <c r="C69" s="2240">
        <f>+'CO2 - Cálculos'!AG23</f>
        <v>0</v>
      </c>
      <c r="D69" s="2273"/>
      <c r="E69" s="1888"/>
      <c r="F69" s="1888"/>
      <c r="G69" s="1888"/>
      <c r="H69" s="1888"/>
      <c r="I69" s="1888"/>
      <c r="J69" s="2360"/>
      <c r="K69" s="2300" t="str">
        <f>+'CO2 - Cálculos'!AC68</f>
        <v>CDR seco + trat. biol.</v>
      </c>
      <c r="L69" s="2240">
        <f>+'CO2 - Cálculos'!AG68</f>
        <v>6937.3741446002377</v>
      </c>
      <c r="M69" s="2273"/>
      <c r="N69" s="1888"/>
      <c r="O69" s="1888"/>
      <c r="P69" s="1888"/>
      <c r="Q69" s="1888"/>
      <c r="R69" s="1888"/>
      <c r="S69" s="1888"/>
      <c r="T69" s="1888"/>
    </row>
    <row r="70" spans="1:20" ht="18" customHeight="1" x14ac:dyDescent="0.25">
      <c r="A70" s="1888"/>
      <c r="B70" s="2361" t="s">
        <v>1256</v>
      </c>
      <c r="C70" s="2273"/>
      <c r="D70" s="2238"/>
      <c r="E70" s="1888"/>
      <c r="F70" s="1888"/>
      <c r="G70" s="1888"/>
      <c r="H70" s="1888"/>
      <c r="I70" s="1888"/>
      <c r="J70" s="1888"/>
      <c r="K70" s="2300" t="str">
        <f>+'CO2 - Cálculos'!AC69</f>
        <v>CDR seco + CDR org.</v>
      </c>
      <c r="L70" s="2240">
        <f>+'CO2 - Cálculos'!AG69</f>
        <v>0</v>
      </c>
      <c r="M70" s="2273"/>
      <c r="N70" s="1888"/>
      <c r="O70" s="1888"/>
      <c r="P70" s="1888"/>
      <c r="Q70" s="1888"/>
      <c r="R70" s="1888"/>
      <c r="S70" s="1888"/>
      <c r="T70" s="1888"/>
    </row>
    <row r="71" spans="1:20" ht="18" customHeight="1" x14ac:dyDescent="0.25">
      <c r="A71" s="1888"/>
      <c r="B71" s="2298" t="str">
        <f>+'CO2 - Cálculos'!AC25</f>
        <v>Resíduos de alimentos</v>
      </c>
      <c r="C71" s="2240">
        <f>+'CO2 - Cálculos'!AG25</f>
        <v>0</v>
      </c>
      <c r="D71" s="2273"/>
      <c r="E71" s="1888"/>
      <c r="F71" s="1888"/>
      <c r="G71" s="1888"/>
      <c r="H71" s="1888"/>
      <c r="I71" s="1888"/>
      <c r="J71" s="1888"/>
      <c r="K71" s="2300" t="str">
        <f>+'CO2 - Cálculos'!AC70</f>
        <v>Incineração</v>
      </c>
      <c r="L71" s="2240">
        <f>+'CO2 - Cálculos'!AG70</f>
        <v>0</v>
      </c>
      <c r="M71" s="2273"/>
      <c r="N71" s="1888"/>
      <c r="O71" s="1888"/>
      <c r="P71" s="1888"/>
      <c r="Q71" s="1888"/>
      <c r="R71" s="1888"/>
      <c r="S71" s="1888"/>
      <c r="T71" s="1888"/>
    </row>
    <row r="72" spans="1:20" ht="18" customHeight="1" x14ac:dyDescent="0.25">
      <c r="A72" s="1888"/>
      <c r="B72" s="2298" t="str">
        <f>+'CO2 - Cálculos'!AC26</f>
        <v>Resíduos de jardins e parques</v>
      </c>
      <c r="C72" s="2240">
        <f>+'CO2 - Cálculos'!AG26</f>
        <v>0</v>
      </c>
      <c r="D72" s="2273"/>
      <c r="E72" s="1888"/>
      <c r="F72" s="1888"/>
      <c r="G72" s="1888"/>
      <c r="H72" s="1888"/>
      <c r="I72" s="1888"/>
      <c r="J72" s="1888"/>
      <c r="K72" s="2362" t="s">
        <v>1256</v>
      </c>
      <c r="L72" s="2273"/>
      <c r="M72" s="2273"/>
      <c r="N72" s="1888"/>
      <c r="O72" s="1888"/>
      <c r="P72" s="1888"/>
      <c r="Q72" s="1888"/>
      <c r="R72" s="1888"/>
      <c r="S72" s="1888"/>
      <c r="T72" s="1888"/>
    </row>
    <row r="73" spans="1:20" ht="18" customHeight="1" x14ac:dyDescent="0.25">
      <c r="A73" s="1888"/>
      <c r="B73" s="2298" t="str">
        <f>+'CO2 - Cálculos'!AC27</f>
        <v>Papel, papelão</v>
      </c>
      <c r="C73" s="2240">
        <f>+'CO2 - Cálculos'!AG27</f>
        <v>-9859.1469840000009</v>
      </c>
      <c r="D73" s="2273"/>
      <c r="E73" s="1888"/>
      <c r="F73" s="1888"/>
      <c r="G73" s="1888"/>
      <c r="H73" s="1888"/>
      <c r="I73" s="1888"/>
      <c r="J73" s="1888"/>
      <c r="K73" s="2300" t="str">
        <f>+'CO2 - Cálculos'!AC72</f>
        <v>Resíduos dispersos</v>
      </c>
      <c r="L73" s="2240">
        <f>+'CO2 - Cálculos'!AG72</f>
        <v>0</v>
      </c>
      <c r="M73" s="2273"/>
      <c r="N73" s="1888"/>
      <c r="O73" s="1888"/>
      <c r="P73" s="1888"/>
      <c r="Q73" s="1888"/>
      <c r="R73" s="1888"/>
      <c r="S73" s="1888"/>
      <c r="T73" s="1888"/>
    </row>
    <row r="74" spans="1:20" ht="18" customHeight="1" x14ac:dyDescent="0.25">
      <c r="A74" s="1888"/>
      <c r="B74" s="2298" t="str">
        <f>+'CO2 - Cálculos'!AC28</f>
        <v>Plásticos</v>
      </c>
      <c r="C74" s="2240">
        <f>+'CO2 - Cálculos'!AG28</f>
        <v>-8281.2747600000002</v>
      </c>
      <c r="D74" s="2273"/>
      <c r="E74" s="1888"/>
      <c r="F74" s="1888"/>
      <c r="G74" s="1888"/>
      <c r="H74" s="1888"/>
      <c r="I74" s="1888"/>
      <c r="J74" s="1888"/>
      <c r="K74" s="2300" t="str">
        <f>+'CO2 - Cálculos'!AC73</f>
        <v>Queima a céu aberto</v>
      </c>
      <c r="L74" s="2240">
        <f>+'CO2 - Cálculos'!AG73</f>
        <v>0</v>
      </c>
      <c r="M74" s="2273"/>
      <c r="N74" s="1888"/>
      <c r="O74" s="1888"/>
      <c r="P74" s="1888"/>
      <c r="Q74" s="1888"/>
      <c r="R74" s="1888"/>
      <c r="S74" s="1888"/>
      <c r="T74" s="1888"/>
    </row>
    <row r="75" spans="1:20" ht="18" customHeight="1" x14ac:dyDescent="0.25">
      <c r="A75" s="1888"/>
      <c r="B75" s="2298" t="str">
        <f>+'CO2 - Cálculos'!AC29</f>
        <v>Vidros</v>
      </c>
      <c r="C75" s="2240">
        <f>+'CO2 - Cálculos'!AG29</f>
        <v>0</v>
      </c>
      <c r="D75" s="2273"/>
      <c r="E75" s="1888"/>
      <c r="F75" s="1888"/>
      <c r="G75" s="1888"/>
      <c r="H75" s="1888"/>
      <c r="I75" s="1888"/>
      <c r="J75" s="1888"/>
      <c r="K75" s="2300" t="str">
        <f>+'CO2 - Cálculos'!AC74</f>
        <v>Lixão não controlado</v>
      </c>
      <c r="L75" s="2240">
        <f>+'CO2 - Cálculos'!AG74</f>
        <v>0</v>
      </c>
      <c r="M75" s="2273"/>
      <c r="N75" s="1888"/>
      <c r="O75" s="1888"/>
      <c r="P75" s="1888"/>
      <c r="Q75" s="1888"/>
      <c r="R75" s="1888"/>
      <c r="S75" s="1888"/>
      <c r="T75" s="1888"/>
    </row>
    <row r="76" spans="1:20" ht="18" customHeight="1" x14ac:dyDescent="0.25">
      <c r="A76" s="1888"/>
      <c r="B76" s="2298" t="str">
        <f>+'CO2 - Cálculos'!AC30</f>
        <v>Metais ferrosos</v>
      </c>
      <c r="C76" s="2240">
        <f>+'CO2 - Cálculos'!AG30</f>
        <v>-5461.4512000000004</v>
      </c>
      <c r="D76" s="2273"/>
      <c r="E76" s="1888"/>
      <c r="F76" s="1888"/>
      <c r="G76" s="1888"/>
      <c r="H76" s="1888"/>
      <c r="I76" s="1888"/>
      <c r="J76" s="1888"/>
      <c r="K76" s="2300" t="str">
        <f>+'CO2 - Cálculos'!AC75</f>
        <v>Aterro controlado</v>
      </c>
      <c r="L76" s="2240">
        <f>+'CO2 - Cálculos'!AG75</f>
        <v>0</v>
      </c>
      <c r="M76" s="2273"/>
      <c r="N76" s="1888"/>
      <c r="O76" s="1888"/>
      <c r="P76" s="1888"/>
      <c r="Q76" s="1888"/>
      <c r="R76" s="1888"/>
      <c r="S76" s="1888"/>
      <c r="T76" s="1888"/>
    </row>
    <row r="77" spans="1:20" ht="18" customHeight="1" x14ac:dyDescent="0.25">
      <c r="A77" s="1888"/>
      <c r="B77" s="2298" t="str">
        <f>+'CO2 - Cálculos'!AC31</f>
        <v>Alumínio</v>
      </c>
      <c r="C77" s="2240">
        <f>+'CO2 - Cálculos'!AG31</f>
        <v>-8222.1359999999986</v>
      </c>
      <c r="D77" s="2273"/>
      <c r="E77" s="1888"/>
      <c r="F77" s="1888"/>
      <c r="G77" s="1888"/>
      <c r="H77" s="1888"/>
      <c r="I77" s="1888"/>
      <c r="J77" s="2360"/>
      <c r="K77" s="2300" t="str">
        <f>+'CO2 - Cálculos'!AC76</f>
        <v>Aterro sanitário</v>
      </c>
      <c r="L77" s="2240">
        <f>+'CO2 - Cálculos'!AG76</f>
        <v>0</v>
      </c>
      <c r="M77" s="2273"/>
      <c r="N77" s="1888"/>
      <c r="O77" s="1888"/>
      <c r="P77" s="1888"/>
      <c r="Q77" s="1888"/>
      <c r="R77" s="1888"/>
      <c r="S77" s="1888"/>
      <c r="T77" s="1888"/>
    </row>
    <row r="78" spans="1:20" ht="18" customHeight="1" x14ac:dyDescent="0.25">
      <c r="A78" s="1888"/>
      <c r="B78" s="2298" t="str">
        <f>+'CO2 - Cálculos'!AC32</f>
        <v>Têxteis</v>
      </c>
      <c r="C78" s="2240">
        <f>+'CO2 - Cálculos'!AG32</f>
        <v>0</v>
      </c>
      <c r="D78" s="2273"/>
      <c r="E78" s="1888"/>
      <c r="F78" s="1888"/>
      <c r="G78" s="1888"/>
      <c r="H78" s="1888"/>
      <c r="I78" s="1888"/>
      <c r="K78" s="2300" t="str">
        <f>+'CO2 - Cálculos'!AC77</f>
        <v>Trat. biol + cobertura at.</v>
      </c>
      <c r="L78" s="2240">
        <f>+'CO2 - Cálculos'!AG77</f>
        <v>0</v>
      </c>
      <c r="M78" s="2273"/>
      <c r="N78" s="1888"/>
      <c r="O78" s="1888"/>
      <c r="P78" s="1888"/>
      <c r="Q78" s="1888"/>
      <c r="R78" s="1888"/>
      <c r="S78" s="1888"/>
      <c r="T78" s="1888"/>
    </row>
    <row r="79" spans="1:20" ht="18" customHeight="1" x14ac:dyDescent="0.25">
      <c r="A79" s="1888"/>
      <c r="B79" s="2363" t="s">
        <v>1257</v>
      </c>
      <c r="C79" s="2273"/>
      <c r="D79" s="2238"/>
      <c r="E79" s="1888"/>
      <c r="F79" s="1888"/>
      <c r="G79" s="1888"/>
      <c r="H79" s="1888"/>
      <c r="I79" s="1888"/>
      <c r="J79" s="2360"/>
      <c r="K79" s="2300" t="str">
        <f>+'CO2 - Cálculos'!AC78</f>
        <v>CDR seco + rejeito aterro</v>
      </c>
      <c r="L79" s="2240">
        <f>+'CO2 - Cálculos'!AG78</f>
        <v>-8213.3557915298534</v>
      </c>
      <c r="M79" s="2273"/>
      <c r="N79" s="1888"/>
      <c r="O79" s="1888"/>
      <c r="P79" s="1888"/>
      <c r="Q79" s="1888"/>
      <c r="R79" s="1888"/>
      <c r="S79" s="1888"/>
      <c r="T79" s="1888"/>
    </row>
    <row r="80" spans="1:20" ht="18" customHeight="1" x14ac:dyDescent="0.25">
      <c r="A80" s="1888"/>
      <c r="B80" s="2363" t="s">
        <v>1258</v>
      </c>
      <c r="C80" s="2273"/>
      <c r="D80" s="2240">
        <f>SUM(C62:C69,C71:C78)</f>
        <v>-21262.545896</v>
      </c>
      <c r="E80" s="1888"/>
      <c r="F80" s="1888"/>
      <c r="G80" s="1888"/>
      <c r="H80" s="1888"/>
      <c r="I80" s="1888"/>
      <c r="J80" s="1888"/>
      <c r="K80" s="2300" t="str">
        <f>+'CO2 - Cálculos'!AC79</f>
        <v>CDR seco + trat. biol.</v>
      </c>
      <c r="L80" s="2240">
        <f>+'CO2 - Cálculos'!AG79</f>
        <v>-34496.094324425387</v>
      </c>
      <c r="M80" s="2273"/>
      <c r="N80" s="1888"/>
      <c r="O80" s="1888"/>
      <c r="P80" s="1888"/>
      <c r="Q80" s="1888"/>
      <c r="R80" s="1888"/>
      <c r="S80" s="1888"/>
      <c r="T80" s="1888"/>
    </row>
    <row r="81" spans="1:20" ht="14.25" x14ac:dyDescent="0.25">
      <c r="A81" s="1888"/>
      <c r="B81" s="1888"/>
      <c r="C81" s="1888"/>
      <c r="D81" s="1888"/>
      <c r="E81" s="1888"/>
      <c r="F81" s="1888"/>
      <c r="G81" s="1888"/>
      <c r="H81" s="1888"/>
      <c r="I81" s="1888"/>
      <c r="J81" s="1888"/>
      <c r="K81" s="2300" t="str">
        <f>+'CO2 - Cálculos'!AC80</f>
        <v>CDR seco + CDR org.</v>
      </c>
      <c r="L81" s="2240">
        <f>+'CO2 - Cálculos'!AG80</f>
        <v>0</v>
      </c>
      <c r="M81" s="2273"/>
      <c r="N81" s="1888"/>
      <c r="O81" s="1888"/>
      <c r="P81" s="1888"/>
      <c r="Q81" s="1888"/>
      <c r="R81" s="1888"/>
      <c r="S81" s="1888"/>
      <c r="T81" s="1888"/>
    </row>
    <row r="82" spans="1:20" ht="14.25" x14ac:dyDescent="0.25">
      <c r="A82" s="1888"/>
      <c r="B82" s="1888"/>
      <c r="C82" s="1888"/>
      <c r="D82" s="1888"/>
      <c r="E82" s="2265"/>
      <c r="F82" s="1888"/>
      <c r="G82" s="1888"/>
      <c r="H82" s="1888"/>
      <c r="I82" s="1888"/>
      <c r="J82" s="1888"/>
      <c r="K82" s="2300" t="str">
        <f>+'CO2 - Cálculos'!AC81</f>
        <v>Incineração</v>
      </c>
      <c r="L82" s="2240">
        <f>+'CO2 - Cálculos'!AG81</f>
        <v>0</v>
      </c>
      <c r="M82" s="2273"/>
      <c r="N82" s="1888"/>
      <c r="O82" s="1888"/>
      <c r="P82" s="1888"/>
      <c r="Q82" s="1888"/>
      <c r="R82" s="1888"/>
      <c r="S82" s="1888"/>
      <c r="T82" s="1888"/>
    </row>
    <row r="83" spans="1:20" ht="14.25" x14ac:dyDescent="0.25">
      <c r="A83" s="1888"/>
      <c r="B83" s="1888"/>
      <c r="C83" s="1888"/>
      <c r="D83" s="1888"/>
      <c r="E83" s="2265"/>
      <c r="F83" s="1888"/>
      <c r="G83" s="1888"/>
      <c r="H83" s="1888"/>
      <c r="I83" s="1888"/>
      <c r="J83" s="1888"/>
      <c r="K83" s="2302" t="s">
        <v>1257</v>
      </c>
      <c r="L83" s="2273"/>
      <c r="M83" s="2273"/>
      <c r="N83" s="1888"/>
      <c r="O83" s="1888"/>
      <c r="P83" s="1888"/>
      <c r="Q83" s="1888"/>
      <c r="R83" s="1888"/>
      <c r="S83" s="1888"/>
      <c r="T83" s="1888"/>
    </row>
    <row r="84" spans="1:20" ht="14.25" x14ac:dyDescent="0.25">
      <c r="A84" s="1888"/>
      <c r="B84" s="1888"/>
      <c r="C84" s="1888"/>
      <c r="D84" s="1888"/>
      <c r="E84" s="2265"/>
      <c r="F84" s="1888"/>
      <c r="G84" s="1888"/>
      <c r="H84" s="1888"/>
      <c r="I84" s="1888"/>
      <c r="J84" s="1888"/>
      <c r="K84" s="2302" t="s">
        <v>1258</v>
      </c>
      <c r="L84" s="2273"/>
      <c r="M84" s="2240">
        <f>SUM(L62:L71,L73:L82)</f>
        <v>28087.741813613502</v>
      </c>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DD3-922C-4146-837B-2919D234B64E}">
  <dimension ref="A1:BD121"/>
  <sheetViews>
    <sheetView zoomScale="80" zoomScaleNormal="8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6.140625" style="1844" customWidth="1"/>
    <col min="4" max="4" width="15.42578125" style="1844" bestFit="1" customWidth="1"/>
    <col min="5" max="5" width="17.42578125" style="1844" customWidth="1"/>
    <col min="6" max="7" width="11.42578125" style="1844"/>
    <col min="8" max="8" width="14.7109375" style="1844" bestFit="1" customWidth="1"/>
    <col min="9" max="9" width="19.140625" style="1844" bestFit="1" customWidth="1"/>
    <col min="10" max="10" width="11.42578125" style="1844"/>
    <col min="11" max="11" width="23.42578125" style="1844" customWidth="1"/>
    <col min="12" max="12" width="19.140625" style="1844" bestFit="1" customWidth="1"/>
    <col min="13" max="13" width="10.42578125" style="1844" customWidth="1"/>
    <col min="14" max="14" width="12.140625" style="1844" customWidth="1"/>
    <col min="15" max="16384" width="11.42578125" style="1844"/>
  </cols>
  <sheetData>
    <row r="1" spans="1:20" s="2227" customFormat="1" ht="26.1" customHeight="1" x14ac:dyDescent="0.2">
      <c r="A1" s="2364" t="s">
        <v>1268</v>
      </c>
      <c r="B1" s="2365"/>
      <c r="C1" s="2365"/>
      <c r="D1" s="2365"/>
      <c r="E1" s="2365"/>
      <c r="F1" s="2226"/>
      <c r="G1" s="2226"/>
      <c r="H1" s="2226"/>
      <c r="I1" s="2226"/>
      <c r="J1" s="2226"/>
      <c r="K1" s="2226"/>
      <c r="L1" s="2226"/>
      <c r="M1" s="2226"/>
      <c r="N1" s="2226"/>
      <c r="O1" s="2226"/>
      <c r="P1" s="2226"/>
      <c r="Q1" s="2226"/>
      <c r="R1" s="2226"/>
      <c r="S1" s="2226"/>
      <c r="T1" s="2226"/>
    </row>
    <row r="2" spans="1:20" ht="14.25" customHeight="1" x14ac:dyDescent="0.25">
      <c r="A2" s="2228"/>
      <c r="B2" s="2229"/>
      <c r="C2" s="2028"/>
      <c r="D2" s="2028"/>
      <c r="E2" s="2028"/>
      <c r="F2" s="1888"/>
      <c r="G2" s="1888"/>
      <c r="H2" s="1888"/>
      <c r="I2" s="1888"/>
      <c r="J2" s="1888"/>
      <c r="K2" s="1888"/>
      <c r="L2" s="1888"/>
      <c r="M2" s="1888"/>
      <c r="N2" s="1888"/>
      <c r="O2" s="1888"/>
      <c r="P2" s="1888"/>
      <c r="Q2" s="1888"/>
      <c r="R2" s="1888"/>
      <c r="S2" s="1888"/>
      <c r="T2" s="1888"/>
    </row>
    <row r="3" spans="1:20" ht="18" customHeight="1" x14ac:dyDescent="0.2">
      <c r="A3" s="1888"/>
      <c r="B3" s="2270" t="s">
        <v>1237</v>
      </c>
      <c r="C3" s="2366">
        <f>+'CO2 - Cálculos'!AH58</f>
        <v>146000</v>
      </c>
      <c r="D3" s="2232"/>
      <c r="E3" s="2232"/>
      <c r="F3" s="1888"/>
      <c r="G3" s="1888"/>
      <c r="H3" s="1888"/>
      <c r="I3" s="1888"/>
      <c r="J3" s="1888"/>
      <c r="K3" s="1888"/>
      <c r="L3" s="1888"/>
      <c r="M3" s="1888"/>
      <c r="N3" s="1888"/>
      <c r="O3" s="1888"/>
      <c r="P3" s="1888"/>
      <c r="Q3" s="1888"/>
      <c r="R3" s="1888"/>
      <c r="S3" s="1888"/>
      <c r="T3" s="1888"/>
    </row>
    <row r="4" spans="1:20" ht="18" customHeight="1" x14ac:dyDescent="0.25">
      <c r="A4" s="1888"/>
      <c r="B4" s="1888"/>
      <c r="C4" s="2367"/>
      <c r="D4" s="2235"/>
      <c r="E4" s="2235"/>
      <c r="F4" s="1888"/>
      <c r="G4" s="1888"/>
      <c r="H4" s="1888"/>
      <c r="I4" s="1888"/>
      <c r="J4" s="1888"/>
      <c r="K4" s="1888"/>
      <c r="L4" s="1955"/>
      <c r="M4" s="1955"/>
      <c r="N4" s="1955"/>
      <c r="O4" s="1955"/>
      <c r="P4" s="1955"/>
      <c r="Q4" s="1955"/>
      <c r="R4" s="1955"/>
      <c r="S4" s="1955"/>
      <c r="T4" s="1888"/>
    </row>
    <row r="5" spans="1:20" ht="18" customHeight="1" x14ac:dyDescent="0.25">
      <c r="A5" s="1888"/>
      <c r="B5" s="2270" t="s">
        <v>1238</v>
      </c>
      <c r="C5" s="2366">
        <f>+'CO2 - Cálculos'!AH13</f>
        <v>14727.458000000001</v>
      </c>
      <c r="D5" s="2232"/>
      <c r="E5" s="2232"/>
      <c r="F5" s="1888"/>
      <c r="G5" s="1888"/>
      <c r="H5" s="1888"/>
      <c r="I5" s="1888"/>
      <c r="J5" s="1888"/>
      <c r="K5" s="1888"/>
      <c r="L5" s="1955"/>
      <c r="M5" s="1955"/>
      <c r="N5" s="1955"/>
      <c r="O5" s="2971" t="s">
        <v>1263</v>
      </c>
      <c r="P5" s="2972"/>
      <c r="Q5" s="1955"/>
      <c r="R5" s="1955"/>
      <c r="S5" s="1955"/>
      <c r="T5" s="1888"/>
    </row>
    <row r="6" spans="1:20" ht="18" customHeight="1" x14ac:dyDescent="0.25">
      <c r="A6" s="1888"/>
      <c r="B6" s="2308"/>
      <c r="C6" s="2299"/>
      <c r="D6" s="2232"/>
      <c r="E6" s="2232"/>
      <c r="F6" s="1888"/>
      <c r="G6" s="1888"/>
      <c r="H6" s="1888"/>
      <c r="I6" s="1888"/>
      <c r="J6" s="1888"/>
      <c r="K6" s="1888"/>
      <c r="L6" s="1955"/>
      <c r="M6" s="1955"/>
      <c r="N6" s="1955"/>
      <c r="O6" s="2975">
        <f>+C3</f>
        <v>146000</v>
      </c>
      <c r="P6" s="2976"/>
      <c r="Q6" s="1955"/>
      <c r="R6" s="1955"/>
      <c r="S6" s="1955"/>
      <c r="T6" s="1888"/>
    </row>
    <row r="7" spans="1:20" ht="18" customHeight="1" x14ac:dyDescent="0.25">
      <c r="A7" s="1888"/>
      <c r="B7" s="2224" t="s">
        <v>1107</v>
      </c>
      <c r="C7" s="2297">
        <f>+'CO2 - Cálculos'!AH5</f>
        <v>0</v>
      </c>
      <c r="D7" s="2232"/>
      <c r="E7" s="2232"/>
      <c r="F7" s="1888"/>
      <c r="G7" s="1888"/>
      <c r="H7" s="1888"/>
      <c r="I7" s="1888"/>
      <c r="J7" s="1888"/>
      <c r="K7" s="1888"/>
      <c r="L7" s="1955"/>
      <c r="M7" s="1975"/>
      <c r="N7" s="1955"/>
      <c r="O7" s="1955"/>
      <c r="P7" s="1955"/>
      <c r="Q7" s="1955"/>
      <c r="R7" s="1955"/>
      <c r="S7" s="1955"/>
      <c r="T7" s="1888"/>
    </row>
    <row r="8" spans="1:20" ht="18" customHeight="1" x14ac:dyDescent="0.25">
      <c r="A8" s="1888"/>
      <c r="B8" s="2224" t="s">
        <v>1108</v>
      </c>
      <c r="C8" s="2297">
        <f>+'CO2 - Cálculos'!AH6</f>
        <v>0</v>
      </c>
      <c r="D8" s="2232"/>
      <c r="E8" s="2232"/>
      <c r="F8" s="1888"/>
      <c r="G8" s="1888"/>
      <c r="H8" s="1888"/>
      <c r="I8" s="1888"/>
      <c r="J8" s="1888"/>
      <c r="K8" s="1888"/>
      <c r="L8" s="1955"/>
      <c r="M8" s="1955"/>
      <c r="N8" s="1955"/>
      <c r="O8" s="1955"/>
      <c r="P8" s="1955"/>
      <c r="Q8" s="1955"/>
      <c r="R8" s="1955"/>
      <c r="S8" s="1955"/>
      <c r="T8" s="1888"/>
    </row>
    <row r="9" spans="1:20" ht="18" customHeight="1" x14ac:dyDescent="0.25">
      <c r="A9" s="1888"/>
      <c r="B9" s="2224" t="s">
        <v>1109</v>
      </c>
      <c r="C9" s="2297">
        <f>+'CO2 - Cálculos'!AH7</f>
        <v>6368.9580000000005</v>
      </c>
      <c r="D9" s="2232"/>
      <c r="E9" s="2232"/>
      <c r="F9" s="1888"/>
      <c r="G9" s="1888"/>
      <c r="H9" s="1888"/>
      <c r="I9" s="1888"/>
      <c r="J9" s="1888"/>
      <c r="K9" s="1888"/>
      <c r="L9" s="1955"/>
      <c r="M9" s="1864" t="s">
        <v>1047</v>
      </c>
      <c r="N9" s="2312">
        <f>+C5</f>
        <v>14727.458000000001</v>
      </c>
      <c r="O9" s="2368">
        <f>+N9/O6</f>
        <v>0.100873</v>
      </c>
      <c r="P9" s="2314">
        <f>+Q9/O6</f>
        <v>0.8991269999999999</v>
      </c>
      <c r="Q9" s="2315">
        <f>+C16</f>
        <v>131272.54199999999</v>
      </c>
      <c r="R9" s="2316" t="s">
        <v>1240</v>
      </c>
      <c r="S9" s="1955"/>
      <c r="T9" s="1888"/>
    </row>
    <row r="10" spans="1:20" ht="18" customHeight="1" x14ac:dyDescent="0.25">
      <c r="A10" s="1888"/>
      <c r="B10" s="2224" t="s">
        <v>1110</v>
      </c>
      <c r="C10" s="2297">
        <f>+'CO2 - Cálculos'!AH8</f>
        <v>4336.2</v>
      </c>
      <c r="D10" s="2232"/>
      <c r="E10" s="2232"/>
      <c r="F10" s="1888"/>
      <c r="G10" s="1888"/>
      <c r="H10" s="1888"/>
      <c r="I10" s="1888"/>
      <c r="J10" s="1888"/>
      <c r="K10" s="1888"/>
      <c r="L10" s="1955"/>
      <c r="M10" s="2317"/>
      <c r="N10" s="2318"/>
      <c r="O10" s="1955"/>
      <c r="P10" s="2311"/>
      <c r="Q10" s="2318"/>
      <c r="R10" s="2317"/>
      <c r="S10" s="1955"/>
      <c r="T10" s="1888"/>
    </row>
    <row r="11" spans="1:20" ht="18" customHeight="1" x14ac:dyDescent="0.25">
      <c r="A11" s="1888"/>
      <c r="B11" s="2224" t="s">
        <v>50</v>
      </c>
      <c r="C11" s="2297">
        <f>+'CO2 - Cálculos'!AH9</f>
        <v>0</v>
      </c>
      <c r="D11" s="2232"/>
      <c r="E11" s="2232"/>
      <c r="F11" s="1888"/>
      <c r="G11" s="1888"/>
      <c r="H11" s="1888"/>
      <c r="I11" s="1888"/>
      <c r="J11" s="1888"/>
      <c r="K11" s="1888"/>
      <c r="L11" s="1955"/>
      <c r="M11" s="1864" t="str">
        <f t="shared" ref="M11:N18" si="0">+B7</f>
        <v>Resíduos de alimentos</v>
      </c>
      <c r="N11" s="2319">
        <f t="shared" si="0"/>
        <v>0</v>
      </c>
      <c r="O11" s="2369">
        <f t="shared" ref="O11:O18" si="1">+N11/$N$9</f>
        <v>0</v>
      </c>
      <c r="P11" s="2321">
        <f t="shared" ref="P11:P19" si="2">+Q11/$Q$9</f>
        <v>0</v>
      </c>
      <c r="Q11" s="2322">
        <f t="shared" ref="Q11:Q19" si="3">+C18</f>
        <v>0</v>
      </c>
      <c r="R11" s="2316" t="str">
        <f t="shared" ref="R11:R19" si="4">+B18</f>
        <v>Resíduos dispersos</v>
      </c>
      <c r="S11" s="1955"/>
      <c r="T11" s="1888"/>
    </row>
    <row r="12" spans="1:20" ht="18" customHeight="1" x14ac:dyDescent="0.25">
      <c r="A12" s="1888"/>
      <c r="B12" s="2224" t="s">
        <v>1111</v>
      </c>
      <c r="C12" s="2297">
        <f>+'CO2 - Cálculos'!AH10</f>
        <v>3190.1</v>
      </c>
      <c r="D12" s="2232"/>
      <c r="E12" s="2232"/>
      <c r="F12" s="1888"/>
      <c r="G12" s="1888"/>
      <c r="H12" s="1888"/>
      <c r="I12" s="1888"/>
      <c r="J12" s="1888"/>
      <c r="K12" s="1888"/>
      <c r="L12" s="1955"/>
      <c r="M12" s="1864" t="str">
        <f t="shared" si="0"/>
        <v>Resíduos de jardins e parques</v>
      </c>
      <c r="N12" s="2319">
        <f t="shared" si="0"/>
        <v>0</v>
      </c>
      <c r="O12" s="2369">
        <f t="shared" si="1"/>
        <v>0</v>
      </c>
      <c r="P12" s="2321">
        <f t="shared" si="2"/>
        <v>0</v>
      </c>
      <c r="Q12" s="2322">
        <f t="shared" si="3"/>
        <v>0</v>
      </c>
      <c r="R12" s="2316" t="str">
        <f t="shared" si="4"/>
        <v>Queima a céu aberto</v>
      </c>
      <c r="S12" s="1955"/>
      <c r="T12" s="1888"/>
    </row>
    <row r="13" spans="1:20" ht="18" customHeight="1" x14ac:dyDescent="0.25">
      <c r="A13" s="1888"/>
      <c r="B13" s="2224" t="s">
        <v>1112</v>
      </c>
      <c r="C13" s="2297">
        <f>+'CO2 - Cálculos'!AH11</f>
        <v>832.19999999999993</v>
      </c>
      <c r="D13" s="2232"/>
      <c r="E13" s="2232"/>
      <c r="F13" s="1888"/>
      <c r="G13" s="1888"/>
      <c r="H13" s="1888"/>
      <c r="I13" s="1888"/>
      <c r="J13" s="1888"/>
      <c r="K13" s="1888"/>
      <c r="L13" s="1955"/>
      <c r="M13" s="1864" t="str">
        <f t="shared" si="0"/>
        <v>Papel, papelão</v>
      </c>
      <c r="N13" s="2319">
        <f t="shared" si="0"/>
        <v>6368.9580000000005</v>
      </c>
      <c r="O13" s="2369">
        <f t="shared" si="1"/>
        <v>0.4324546707245745</v>
      </c>
      <c r="P13" s="2321">
        <f t="shared" si="2"/>
        <v>0</v>
      </c>
      <c r="Q13" s="2322">
        <f t="shared" si="3"/>
        <v>0</v>
      </c>
      <c r="R13" s="2316" t="str">
        <f t="shared" si="4"/>
        <v>Lixão não controlado</v>
      </c>
      <c r="S13" s="1955"/>
      <c r="T13" s="1888"/>
    </row>
    <row r="14" spans="1:20" ht="18" customHeight="1" x14ac:dyDescent="0.25">
      <c r="A14" s="1888"/>
      <c r="B14" s="2224" t="s">
        <v>1113</v>
      </c>
      <c r="C14" s="2297">
        <f>+'CO2 - Cálculos'!AH12</f>
        <v>0</v>
      </c>
      <c r="D14" s="2232"/>
      <c r="E14" s="2232"/>
      <c r="F14" s="1888"/>
      <c r="G14" s="1888"/>
      <c r="H14" s="1888"/>
      <c r="I14" s="1888"/>
      <c r="J14" s="1888"/>
      <c r="K14" s="1888"/>
      <c r="L14" s="1955"/>
      <c r="M14" s="1864" t="str">
        <f t="shared" si="0"/>
        <v>Plásticos</v>
      </c>
      <c r="N14" s="2319">
        <f t="shared" si="0"/>
        <v>4336.2</v>
      </c>
      <c r="O14" s="2369">
        <f t="shared" si="1"/>
        <v>0.29442962933589761</v>
      </c>
      <c r="P14" s="2321">
        <f t="shared" si="2"/>
        <v>0</v>
      </c>
      <c r="Q14" s="2322">
        <f t="shared" si="3"/>
        <v>0</v>
      </c>
      <c r="R14" s="2316" t="str">
        <f t="shared" si="4"/>
        <v>Aterro controlado</v>
      </c>
      <c r="S14" s="1955"/>
      <c r="T14" s="1888"/>
    </row>
    <row r="15" spans="1:20" ht="18" customHeight="1" x14ac:dyDescent="0.25">
      <c r="A15" s="1888"/>
      <c r="B15" s="2367"/>
      <c r="C15" s="2370"/>
      <c r="D15" s="2232"/>
      <c r="E15" s="2232"/>
      <c r="F15" s="1888"/>
      <c r="G15" s="1888"/>
      <c r="H15" s="1888"/>
      <c r="I15" s="1888"/>
      <c r="J15" s="1888"/>
      <c r="K15" s="1888"/>
      <c r="L15" s="1955"/>
      <c r="M15" s="1864" t="str">
        <f t="shared" si="0"/>
        <v>Vidros</v>
      </c>
      <c r="N15" s="2319">
        <f t="shared" si="0"/>
        <v>0</v>
      </c>
      <c r="O15" s="2369">
        <f t="shared" si="1"/>
        <v>0</v>
      </c>
      <c r="P15" s="2321">
        <f t="shared" si="2"/>
        <v>0.375</v>
      </c>
      <c r="Q15" s="2322">
        <f t="shared" si="3"/>
        <v>49227.203249999991</v>
      </c>
      <c r="R15" s="2316" t="str">
        <f t="shared" si="4"/>
        <v>Aterro sanitário</v>
      </c>
      <c r="S15" s="1955"/>
      <c r="T15" s="2232"/>
    </row>
    <row r="16" spans="1:20" ht="18" customHeight="1" x14ac:dyDescent="0.25">
      <c r="A16" s="1888"/>
      <c r="B16" s="2276" t="s">
        <v>1264</v>
      </c>
      <c r="C16" s="2366">
        <f>+'CO2 - Cálculos'!AH57</f>
        <v>131272.54199999999</v>
      </c>
      <c r="D16" s="2232"/>
      <c r="E16" s="2232"/>
      <c r="F16" s="1888"/>
      <c r="G16" s="1888"/>
      <c r="H16" s="1888"/>
      <c r="I16" s="1888"/>
      <c r="J16" s="1888"/>
      <c r="K16" s="1888"/>
      <c r="L16" s="1955"/>
      <c r="M16" s="1864" t="str">
        <f t="shared" si="0"/>
        <v>Metais ferrosos</v>
      </c>
      <c r="N16" s="2319">
        <f t="shared" si="0"/>
        <v>3190.1</v>
      </c>
      <c r="O16" s="2369">
        <f t="shared" si="1"/>
        <v>0.21660900340031525</v>
      </c>
      <c r="P16" s="2321">
        <f t="shared" si="2"/>
        <v>0.625</v>
      </c>
      <c r="Q16" s="2322">
        <f t="shared" si="3"/>
        <v>82045.338749999995</v>
      </c>
      <c r="R16" s="2316" t="str">
        <f t="shared" si="4"/>
        <v>Trat. biol + cobertura at.</v>
      </c>
      <c r="S16" s="1955"/>
      <c r="T16" s="2232"/>
    </row>
    <row r="17" spans="1:33" ht="18" customHeight="1" x14ac:dyDescent="0.25">
      <c r="A17" s="1888"/>
      <c r="B17" s="2308"/>
      <c r="C17" s="2299"/>
      <c r="D17" s="2232"/>
      <c r="E17" s="2232"/>
      <c r="F17" s="1888"/>
      <c r="G17" s="1888"/>
      <c r="H17" s="1888"/>
      <c r="I17" s="1888"/>
      <c r="J17" s="1888"/>
      <c r="K17" s="1888"/>
      <c r="L17" s="1955"/>
      <c r="M17" s="1864" t="str">
        <f t="shared" si="0"/>
        <v>Alumínio</v>
      </c>
      <c r="N17" s="2319">
        <f t="shared" si="0"/>
        <v>832.19999999999993</v>
      </c>
      <c r="O17" s="2369">
        <f t="shared" si="1"/>
        <v>5.650669653921267E-2</v>
      </c>
      <c r="P17" s="2321">
        <f t="shared" si="2"/>
        <v>0</v>
      </c>
      <c r="Q17" s="2322">
        <f t="shared" si="3"/>
        <v>0</v>
      </c>
      <c r="R17" s="2316" t="str">
        <f t="shared" si="4"/>
        <v>CDR seco + rejeito aterro</v>
      </c>
      <c r="S17" s="1955"/>
      <c r="T17" s="1888"/>
    </row>
    <row r="18" spans="1:33" ht="18" customHeight="1" x14ac:dyDescent="0.25">
      <c r="A18" s="1888"/>
      <c r="B18" s="2224" t="s">
        <v>1242</v>
      </c>
      <c r="C18" s="2297">
        <f>+'CO2 - Cálculos'!AH47</f>
        <v>0</v>
      </c>
      <c r="D18" s="2232"/>
      <c r="E18" s="2232"/>
      <c r="F18" s="1888"/>
      <c r="G18" s="1888"/>
      <c r="H18" s="1888"/>
      <c r="I18" s="1888"/>
      <c r="J18" s="1888"/>
      <c r="K18" s="1888"/>
      <c r="L18" s="1955"/>
      <c r="M18" s="1864" t="str">
        <f t="shared" si="0"/>
        <v>Têxteis</v>
      </c>
      <c r="N18" s="2319">
        <f t="shared" si="0"/>
        <v>0</v>
      </c>
      <c r="O18" s="2369">
        <f t="shared" si="1"/>
        <v>0</v>
      </c>
      <c r="P18" s="2321">
        <f t="shared" si="2"/>
        <v>0</v>
      </c>
      <c r="Q18" s="2322">
        <f t="shared" si="3"/>
        <v>0</v>
      </c>
      <c r="R18" s="2316" t="str">
        <f t="shared" si="4"/>
        <v>CDR seco + trat. biol.</v>
      </c>
      <c r="S18" s="1955"/>
      <c r="T18" s="1888"/>
    </row>
    <row r="19" spans="1:33" ht="18" customHeight="1" x14ac:dyDescent="0.25">
      <c r="A19" s="1888"/>
      <c r="B19" s="2224" t="s">
        <v>1243</v>
      </c>
      <c r="C19" s="2297">
        <f>+'CO2 - Cálculos'!AH48</f>
        <v>0</v>
      </c>
      <c r="D19" s="2232"/>
      <c r="E19" s="2232"/>
      <c r="F19" s="1888"/>
      <c r="G19" s="1888"/>
      <c r="H19" s="1888"/>
      <c r="I19" s="1888"/>
      <c r="J19" s="1888"/>
      <c r="K19" s="1888"/>
      <c r="L19" s="1955"/>
      <c r="M19" s="1955"/>
      <c r="N19" s="2371"/>
      <c r="O19" s="2372"/>
      <c r="P19" s="2321">
        <f t="shared" si="2"/>
        <v>0</v>
      </c>
      <c r="Q19" s="2322">
        <f t="shared" si="3"/>
        <v>0</v>
      </c>
      <c r="R19" s="2316" t="str">
        <f t="shared" si="4"/>
        <v>CDR seco + CDR org.</v>
      </c>
      <c r="S19" s="1955"/>
      <c r="T19" s="1888"/>
    </row>
    <row r="20" spans="1:33" ht="18" customHeight="1" x14ac:dyDescent="0.25">
      <c r="A20" s="1888"/>
      <c r="B20" s="2224" t="s">
        <v>1244</v>
      </c>
      <c r="C20" s="2297">
        <f>+'CO2 - Cálculos'!AH49</f>
        <v>0</v>
      </c>
      <c r="D20" s="2232"/>
      <c r="E20" s="2232"/>
      <c r="F20" s="1888"/>
      <c r="G20" s="1888"/>
      <c r="H20" s="1888"/>
      <c r="I20" s="1888"/>
      <c r="J20" s="1888"/>
      <c r="K20" s="1888"/>
      <c r="L20" s="1955"/>
      <c r="M20" s="1955"/>
      <c r="N20" s="2371"/>
      <c r="O20" s="1955"/>
      <c r="P20" s="2321">
        <f>+Q20/$Q$9</f>
        <v>0</v>
      </c>
      <c r="Q20" s="2322">
        <f>+C27</f>
        <v>0</v>
      </c>
      <c r="R20" s="2316" t="str">
        <f>+B27</f>
        <v>Incineração</v>
      </c>
      <c r="S20" s="1955"/>
      <c r="T20" s="1888"/>
    </row>
    <row r="21" spans="1:33" ht="18" customHeight="1" x14ac:dyDescent="0.25">
      <c r="A21" s="1888"/>
      <c r="B21" s="2224" t="s">
        <v>1245</v>
      </c>
      <c r="C21" s="2297">
        <f>+'CO2 - Cálculos'!AH50</f>
        <v>0</v>
      </c>
      <c r="D21" s="2232"/>
      <c r="E21" s="2232"/>
      <c r="F21" s="1888"/>
      <c r="G21" s="1888"/>
      <c r="H21" s="1888"/>
      <c r="I21" s="1888"/>
      <c r="J21" s="1888"/>
      <c r="K21" s="1888"/>
      <c r="L21" s="1955"/>
      <c r="M21" s="1955"/>
      <c r="N21" s="1955"/>
      <c r="O21" s="1955"/>
      <c r="P21" s="1955"/>
      <c r="Q21" s="2373"/>
      <c r="R21" s="1955"/>
      <c r="S21" s="1955"/>
      <c r="T21" s="1888"/>
    </row>
    <row r="22" spans="1:33" ht="18" customHeight="1" x14ac:dyDescent="0.2">
      <c r="A22" s="1888"/>
      <c r="B22" s="2324" t="s">
        <v>64</v>
      </c>
      <c r="C22" s="2297">
        <f>+'CO2 - Cálculos'!AH51</f>
        <v>49227.203249999991</v>
      </c>
      <c r="D22" s="2232"/>
      <c r="E22" s="2232"/>
      <c r="F22" s="1888"/>
      <c r="G22" s="1888"/>
      <c r="H22" s="1888"/>
      <c r="I22" s="1888"/>
      <c r="J22" s="1888"/>
      <c r="K22" s="1888"/>
      <c r="L22" s="1888"/>
      <c r="M22" s="1888"/>
      <c r="N22" s="1888"/>
      <c r="O22" s="1888"/>
      <c r="P22" s="1888"/>
      <c r="Q22" s="2014"/>
      <c r="R22" s="1888"/>
      <c r="S22" s="1888"/>
      <c r="T22" s="1888"/>
    </row>
    <row r="23" spans="1:33" ht="18" customHeight="1" x14ac:dyDescent="0.2">
      <c r="A23" s="1888"/>
      <c r="B23" s="2325" t="s">
        <v>1246</v>
      </c>
      <c r="C23" s="2374">
        <f>+'CO2 - Cálculos'!AH52</f>
        <v>82045.338749999995</v>
      </c>
      <c r="D23" s="2232"/>
      <c r="E23" s="2232"/>
      <c r="F23" s="1888"/>
      <c r="G23" s="1888"/>
      <c r="H23" s="1888"/>
      <c r="I23" s="1888"/>
      <c r="J23" s="1888"/>
      <c r="K23" s="1888"/>
      <c r="L23" s="1888"/>
      <c r="M23" s="1888"/>
      <c r="N23" s="1888"/>
      <c r="O23" s="1888"/>
      <c r="P23" s="1888"/>
      <c r="Q23" s="1888"/>
      <c r="R23" s="1888"/>
      <c r="S23" s="1888"/>
      <c r="T23" s="1888"/>
    </row>
    <row r="24" spans="1:33" ht="18" customHeight="1" x14ac:dyDescent="0.2">
      <c r="A24" s="1888"/>
      <c r="B24" s="2325" t="s">
        <v>1247</v>
      </c>
      <c r="C24" s="2297">
        <f>+'CO2 - Cálculos'!AH53</f>
        <v>0</v>
      </c>
      <c r="D24" s="2232"/>
      <c r="E24" s="2232"/>
      <c r="F24" s="1888"/>
      <c r="G24" s="1888"/>
      <c r="H24" s="1888"/>
      <c r="I24" s="1888"/>
      <c r="J24" s="1888"/>
      <c r="K24" s="1888"/>
      <c r="L24" s="1888"/>
      <c r="M24" s="1888"/>
      <c r="N24" s="1888"/>
      <c r="O24" s="1888"/>
      <c r="P24" s="1888"/>
      <c r="Q24" s="1888"/>
      <c r="R24" s="1888"/>
      <c r="S24" s="1888"/>
      <c r="T24" s="1888"/>
    </row>
    <row r="25" spans="1:33" ht="18" customHeight="1" x14ac:dyDescent="0.2">
      <c r="A25" s="1888"/>
      <c r="B25" s="2325" t="s">
        <v>1248</v>
      </c>
      <c r="C25" s="2297">
        <f>+'CO2 - Cálculos'!AH54</f>
        <v>0</v>
      </c>
      <c r="D25" s="2232"/>
      <c r="E25" s="2232"/>
      <c r="F25" s="1888"/>
      <c r="G25" s="1888"/>
      <c r="H25" s="1888"/>
      <c r="I25" s="1888"/>
      <c r="J25" s="1888"/>
      <c r="K25" s="1888"/>
      <c r="L25" s="1888"/>
      <c r="M25" s="1888"/>
      <c r="N25" s="1888"/>
      <c r="O25" s="1888"/>
      <c r="P25" s="1888"/>
      <c r="Q25" s="1888"/>
      <c r="R25" s="1888"/>
      <c r="S25" s="1888"/>
      <c r="T25" s="1888"/>
    </row>
    <row r="26" spans="1:33" ht="18" customHeight="1" x14ac:dyDescent="0.2">
      <c r="A26" s="1888"/>
      <c r="B26" s="2325" t="s">
        <v>1249</v>
      </c>
      <c r="C26" s="2297">
        <f>+'CO2 - Cálculos'!AH55</f>
        <v>0</v>
      </c>
      <c r="D26" s="2232"/>
      <c r="E26" s="2232"/>
      <c r="F26" s="1888"/>
      <c r="G26" s="1888"/>
      <c r="H26" s="1888"/>
      <c r="I26" s="1888"/>
      <c r="J26" s="1888"/>
      <c r="K26" s="1888"/>
      <c r="L26" s="1888"/>
      <c r="M26" s="1888"/>
      <c r="N26" s="1888"/>
      <c r="O26" s="1888"/>
      <c r="P26" s="1888"/>
      <c r="Q26" s="1888"/>
      <c r="R26" s="1888"/>
      <c r="S26" s="1888"/>
      <c r="T26" s="1888"/>
    </row>
    <row r="27" spans="1:33" ht="18" customHeight="1" x14ac:dyDescent="0.2">
      <c r="A27" s="1888"/>
      <c r="B27" s="2224" t="s">
        <v>63</v>
      </c>
      <c r="C27" s="2297">
        <f>+'CO2 - Cálculos'!AH56</f>
        <v>0</v>
      </c>
      <c r="D27" s="2232"/>
      <c r="E27" s="2232"/>
      <c r="F27" s="1888"/>
      <c r="G27" s="1888"/>
      <c r="H27" s="1888"/>
      <c r="I27" s="1888"/>
      <c r="J27" s="1888"/>
      <c r="K27" s="1888"/>
      <c r="L27" s="1888"/>
      <c r="M27" s="1888"/>
      <c r="N27" s="1888"/>
      <c r="O27" s="1888"/>
      <c r="P27" s="1888"/>
      <c r="Q27" s="1888"/>
      <c r="R27" s="1888"/>
      <c r="S27" s="1888"/>
      <c r="T27" s="1888"/>
    </row>
    <row r="28" spans="1:33" x14ac:dyDescent="0.2">
      <c r="A28" s="1888"/>
      <c r="B28" s="1888"/>
      <c r="C28" s="2232"/>
      <c r="D28" s="2232"/>
      <c r="E28" s="2232"/>
      <c r="F28" s="2028"/>
      <c r="G28" s="2028"/>
      <c r="H28" s="2028"/>
      <c r="I28" s="2028"/>
      <c r="J28" s="2028"/>
      <c r="K28" s="2028"/>
      <c r="L28" s="2028"/>
      <c r="M28" s="2028"/>
      <c r="N28" s="2028"/>
      <c r="O28" s="2028"/>
      <c r="P28" s="2028"/>
      <c r="Q28" s="2028"/>
      <c r="R28" s="2028"/>
      <c r="S28" s="2028"/>
      <c r="T28" s="2028"/>
      <c r="U28" s="1843"/>
      <c r="V28" s="1843"/>
      <c r="W28" s="1843"/>
      <c r="X28" s="1843"/>
      <c r="Y28" s="1843"/>
      <c r="Z28" s="1843"/>
      <c r="AA28" s="1843"/>
      <c r="AB28" s="1843"/>
      <c r="AC28" s="1843"/>
      <c r="AD28" s="1843"/>
      <c r="AE28" s="1843"/>
      <c r="AF28" s="1843"/>
      <c r="AG28" s="1843"/>
    </row>
    <row r="29" spans="1:33" s="2227" customFormat="1" ht="26.1" customHeight="1" x14ac:dyDescent="0.2">
      <c r="A29" s="2061" t="s">
        <v>1265</v>
      </c>
      <c r="B29" s="2264"/>
      <c r="C29" s="1983"/>
      <c r="D29" s="1983"/>
      <c r="E29" s="1983"/>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row>
    <row r="30" spans="1:33"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33" s="2223" customFormat="1" ht="18" customHeight="1" x14ac:dyDescent="0.25">
      <c r="A31" s="2138"/>
      <c r="B31" s="2149"/>
      <c r="C31" s="2375" t="s">
        <v>1251</v>
      </c>
      <c r="D31" s="2304" t="s">
        <v>1252</v>
      </c>
      <c r="E31" s="2304" t="s">
        <v>1253</v>
      </c>
      <c r="F31" s="2138"/>
      <c r="G31" s="2138"/>
      <c r="H31" s="2376"/>
      <c r="I31" s="2138"/>
      <c r="J31" s="2138"/>
      <c r="K31" s="2138"/>
      <c r="L31" s="2138"/>
      <c r="M31" s="2138"/>
      <c r="N31" s="2138"/>
      <c r="O31" s="2138"/>
      <c r="P31" s="2138"/>
      <c r="Q31" s="2138"/>
      <c r="R31" s="2138"/>
      <c r="S31" s="2138"/>
      <c r="T31" s="2138"/>
    </row>
    <row r="32" spans="1:33" s="2223" customFormat="1" ht="18" customHeight="1" x14ac:dyDescent="0.25">
      <c r="A32" s="2138"/>
      <c r="B32" s="2304" t="s">
        <v>1238</v>
      </c>
      <c r="C32" s="2309"/>
      <c r="D32" s="2377"/>
      <c r="E32" s="2377"/>
      <c r="F32" s="2138"/>
      <c r="G32" s="2138"/>
      <c r="H32" s="2138"/>
      <c r="I32" s="2138"/>
      <c r="J32" s="2138"/>
      <c r="K32" s="2138"/>
      <c r="L32" s="2138"/>
      <c r="M32" s="2138"/>
      <c r="N32" s="2138"/>
      <c r="O32" s="2138"/>
      <c r="P32" s="2138"/>
      <c r="Q32" s="2138"/>
      <c r="R32" s="2138"/>
      <c r="S32" s="2138"/>
      <c r="T32" s="2138"/>
    </row>
    <row r="33" spans="1:20" s="2223" customFormat="1" ht="18" customHeight="1" x14ac:dyDescent="0.25">
      <c r="A33" s="2138"/>
      <c r="B33" s="2378"/>
      <c r="C33" s="2377"/>
      <c r="D33" s="2377"/>
      <c r="E33" s="2377"/>
      <c r="F33" s="2138"/>
      <c r="G33" s="2138"/>
      <c r="H33" s="2138"/>
      <c r="I33" s="2138"/>
      <c r="J33" s="2138"/>
      <c r="K33" s="2138"/>
      <c r="L33" s="2138"/>
      <c r="M33" s="2138"/>
      <c r="N33" s="2138"/>
      <c r="O33" s="2138"/>
      <c r="P33" s="2138"/>
      <c r="Q33" s="2138"/>
      <c r="R33" s="2138"/>
      <c r="S33" s="2138"/>
      <c r="T33" s="2138"/>
    </row>
    <row r="34" spans="1:20" s="2223" customFormat="1" ht="18" customHeight="1" x14ac:dyDescent="0.25">
      <c r="A34" s="2138"/>
      <c r="B34" s="2301" t="str">
        <f>B7</f>
        <v>Resíduos de alimentos</v>
      </c>
      <c r="C34" s="2310">
        <f t="shared" ref="C34:C41" si="5">+C62</f>
        <v>0</v>
      </c>
      <c r="D34" s="2310">
        <f t="shared" ref="D34:D41" si="6">+C71</f>
        <v>0</v>
      </c>
      <c r="E34" s="2310">
        <f t="shared" ref="E34:E41" si="7">+D34+C34</f>
        <v>0</v>
      </c>
      <c r="F34" s="2138"/>
      <c r="G34" s="2138"/>
      <c r="H34" s="2138"/>
      <c r="I34" s="2138"/>
      <c r="J34" s="2138"/>
      <c r="K34" s="2138"/>
      <c r="L34" s="2138"/>
      <c r="M34" s="2138"/>
      <c r="N34" s="2138"/>
      <c r="O34" s="2138"/>
      <c r="P34" s="2138"/>
      <c r="Q34" s="2138"/>
      <c r="R34" s="2138"/>
      <c r="S34" s="2138"/>
      <c r="T34" s="2138"/>
    </row>
    <row r="35" spans="1:20" s="2223" customFormat="1" ht="18" customHeight="1" x14ac:dyDescent="0.25">
      <c r="A35" s="2138"/>
      <c r="B35" s="2301" t="str">
        <f t="shared" ref="B35:B41" si="8">B8</f>
        <v>Resíduos de jardins e parques</v>
      </c>
      <c r="C35" s="2310">
        <f t="shared" si="5"/>
        <v>0</v>
      </c>
      <c r="D35" s="2310">
        <f t="shared" si="6"/>
        <v>0</v>
      </c>
      <c r="E35" s="2310">
        <f t="shared" si="7"/>
        <v>0</v>
      </c>
      <c r="F35" s="2138"/>
      <c r="G35" s="2138"/>
      <c r="H35" s="2138"/>
      <c r="I35" s="2138"/>
      <c r="J35" s="2138"/>
      <c r="K35" s="2138"/>
      <c r="L35" s="2138"/>
      <c r="M35" s="2138"/>
      <c r="N35" s="2138"/>
      <c r="O35" s="2138"/>
      <c r="P35" s="2138"/>
      <c r="Q35" s="2138"/>
      <c r="R35" s="2138"/>
      <c r="S35" s="2138"/>
      <c r="T35" s="2138"/>
    </row>
    <row r="36" spans="1:20" s="2223" customFormat="1" ht="18" customHeight="1" x14ac:dyDescent="0.25">
      <c r="A36" s="2138"/>
      <c r="B36" s="2301" t="str">
        <f t="shared" si="8"/>
        <v>Papel, papelão</v>
      </c>
      <c r="C36" s="2310">
        <f t="shared" si="5"/>
        <v>7999.4112480000003</v>
      </c>
      <c r="D36" s="2310">
        <f t="shared" si="6"/>
        <v>-9859.1469840000009</v>
      </c>
      <c r="E36" s="2310">
        <f t="shared" si="7"/>
        <v>-1859.7357360000005</v>
      </c>
      <c r="F36" s="2138"/>
      <c r="G36" s="2138"/>
      <c r="H36" s="2138"/>
      <c r="I36" s="2138"/>
      <c r="J36" s="2138"/>
      <c r="K36" s="2138"/>
      <c r="L36" s="2138"/>
      <c r="M36" s="2138"/>
      <c r="N36" s="2138"/>
      <c r="O36" s="2138"/>
      <c r="P36" s="2138"/>
      <c r="Q36" s="2138"/>
      <c r="R36" s="2138"/>
      <c r="S36" s="2138"/>
      <c r="T36" s="2138"/>
    </row>
    <row r="37" spans="1:20" s="2223" customFormat="1" ht="18" customHeight="1" x14ac:dyDescent="0.25">
      <c r="A37" s="2138"/>
      <c r="B37" s="2301" t="str">
        <f t="shared" si="8"/>
        <v>Plásticos</v>
      </c>
      <c r="C37" s="2310">
        <f t="shared" si="5"/>
        <v>1777.8420000000001</v>
      </c>
      <c r="D37" s="2310">
        <f t="shared" si="6"/>
        <v>-8281.2747600000002</v>
      </c>
      <c r="E37" s="2310">
        <f t="shared" si="7"/>
        <v>-6503.4327599999997</v>
      </c>
      <c r="F37" s="2138"/>
      <c r="G37" s="2138"/>
      <c r="H37" s="2138"/>
      <c r="I37" s="2138"/>
      <c r="J37" s="2138"/>
      <c r="K37" s="2138"/>
      <c r="L37" s="2138"/>
      <c r="M37" s="2138"/>
      <c r="N37" s="2138"/>
      <c r="O37" s="2138"/>
      <c r="P37" s="2138"/>
      <c r="Q37" s="2138"/>
      <c r="R37" s="2138"/>
      <c r="S37" s="2138"/>
      <c r="T37" s="2138"/>
    </row>
    <row r="38" spans="1:20" s="2223" customFormat="1" ht="18" customHeight="1" x14ac:dyDescent="0.25">
      <c r="A38" s="2138"/>
      <c r="B38" s="2301" t="str">
        <f t="shared" si="8"/>
        <v>Vidros</v>
      </c>
      <c r="C38" s="2310">
        <f t="shared" si="5"/>
        <v>0</v>
      </c>
      <c r="D38" s="2310">
        <f t="shared" si="6"/>
        <v>0</v>
      </c>
      <c r="E38" s="2310">
        <f t="shared" si="7"/>
        <v>0</v>
      </c>
      <c r="F38" s="2138"/>
      <c r="G38" s="2138"/>
      <c r="H38" s="2138"/>
      <c r="I38" s="2138"/>
      <c r="J38" s="2138"/>
      <c r="K38" s="2138"/>
      <c r="L38" s="2138"/>
      <c r="M38" s="2138"/>
      <c r="N38" s="2138"/>
      <c r="O38" s="2138"/>
      <c r="P38" s="2138"/>
      <c r="Q38" s="2138"/>
      <c r="R38" s="2138"/>
      <c r="S38" s="2138"/>
      <c r="T38" s="2138"/>
    </row>
    <row r="39" spans="1:20" s="2223" customFormat="1" ht="18" customHeight="1" x14ac:dyDescent="0.25">
      <c r="A39" s="2138"/>
      <c r="B39" s="2301" t="str">
        <f t="shared" si="8"/>
        <v>Metais ferrosos</v>
      </c>
      <c r="C39" s="2310">
        <f t="shared" si="5"/>
        <v>204.16639999999998</v>
      </c>
      <c r="D39" s="2310">
        <f t="shared" si="6"/>
        <v>-5461.4512000000004</v>
      </c>
      <c r="E39" s="2310">
        <f t="shared" si="7"/>
        <v>-5257.2848000000004</v>
      </c>
      <c r="F39" s="2138"/>
      <c r="G39" s="2138"/>
      <c r="H39" s="2138"/>
      <c r="I39" s="2138"/>
      <c r="J39" s="2138"/>
      <c r="K39" s="2138"/>
      <c r="L39" s="2138"/>
      <c r="M39" s="2138"/>
      <c r="N39" s="2138"/>
      <c r="O39" s="2138"/>
      <c r="P39" s="2138"/>
      <c r="Q39" s="2138"/>
      <c r="R39" s="2138"/>
      <c r="S39" s="2138"/>
      <c r="T39" s="2138"/>
    </row>
    <row r="40" spans="1:20" s="2223" customFormat="1" ht="18" customHeight="1" x14ac:dyDescent="0.25">
      <c r="A40" s="2138"/>
      <c r="B40" s="2301" t="str">
        <f t="shared" si="8"/>
        <v>Alumínio</v>
      </c>
      <c r="C40" s="2310">
        <f t="shared" si="5"/>
        <v>580.04339999999991</v>
      </c>
      <c r="D40" s="2310">
        <f t="shared" si="6"/>
        <v>-8222.1359999999986</v>
      </c>
      <c r="E40" s="2310">
        <f t="shared" si="7"/>
        <v>-7642.092599999999</v>
      </c>
      <c r="F40" s="2138"/>
      <c r="G40" s="2138"/>
      <c r="H40" s="2138"/>
      <c r="I40" s="2138"/>
      <c r="J40" s="2138"/>
      <c r="K40" s="2138"/>
      <c r="L40" s="2138"/>
      <c r="M40" s="2138"/>
      <c r="N40" s="2138"/>
      <c r="O40" s="2138"/>
      <c r="P40" s="2138"/>
      <c r="Q40" s="2138"/>
      <c r="R40" s="2138"/>
      <c r="S40" s="2138"/>
      <c r="T40" s="2138"/>
    </row>
    <row r="41" spans="1:20" s="2223" customFormat="1" ht="18" customHeight="1" x14ac:dyDescent="0.25">
      <c r="A41" s="2138"/>
      <c r="B41" s="2301" t="str">
        <f t="shared" si="8"/>
        <v>Têxteis</v>
      </c>
      <c r="C41" s="2310">
        <f t="shared" si="5"/>
        <v>0</v>
      </c>
      <c r="D41" s="2310">
        <f t="shared" si="6"/>
        <v>0</v>
      </c>
      <c r="E41" s="2310">
        <f t="shared" si="7"/>
        <v>0</v>
      </c>
      <c r="F41" s="2138"/>
      <c r="G41" s="2138"/>
      <c r="H41" s="2138"/>
      <c r="I41" s="2138"/>
      <c r="J41" s="2138"/>
      <c r="K41" s="2138"/>
      <c r="L41" s="2138"/>
      <c r="M41" s="2138"/>
      <c r="N41" s="2138"/>
      <c r="O41" s="2138"/>
      <c r="P41" s="2138"/>
      <c r="Q41" s="2138"/>
      <c r="R41" s="2138"/>
      <c r="S41" s="2138"/>
      <c r="T41" s="2138"/>
    </row>
    <row r="42" spans="1:20" s="2223" customFormat="1" ht="18" customHeight="1" x14ac:dyDescent="0.25">
      <c r="A42" s="2138"/>
      <c r="B42" s="1906"/>
      <c r="C42" s="2379"/>
      <c r="D42" s="2379"/>
      <c r="E42" s="2379"/>
      <c r="F42" s="2138"/>
      <c r="G42" s="2138"/>
      <c r="H42" s="2138"/>
      <c r="I42" s="2138"/>
      <c r="J42" s="2138"/>
      <c r="K42" s="2138"/>
      <c r="L42" s="2138"/>
      <c r="M42" s="2138"/>
      <c r="N42" s="2138"/>
      <c r="O42" s="2138"/>
      <c r="P42" s="2138"/>
      <c r="Q42" s="2138"/>
      <c r="R42" s="2138"/>
      <c r="S42" s="2138"/>
      <c r="T42" s="2138"/>
    </row>
    <row r="43" spans="1:20" s="2223" customFormat="1" ht="18" customHeight="1" x14ac:dyDescent="0.25">
      <c r="A43" s="2138"/>
      <c r="B43" s="1977" t="s">
        <v>1264</v>
      </c>
      <c r="C43" s="2380"/>
      <c r="D43" s="2381"/>
      <c r="E43" s="2381"/>
      <c r="F43" s="2138"/>
      <c r="G43" s="2138"/>
      <c r="H43" s="2138"/>
      <c r="I43" s="2138"/>
      <c r="J43" s="2138"/>
      <c r="K43" s="2138"/>
      <c r="L43" s="2138"/>
      <c r="M43" s="2138"/>
      <c r="N43" s="2138"/>
      <c r="O43" s="2138"/>
      <c r="P43" s="2138"/>
      <c r="Q43" s="2138"/>
      <c r="R43" s="2138"/>
      <c r="S43" s="2138"/>
      <c r="T43" s="2138"/>
    </row>
    <row r="44" spans="1:20" s="2223" customFormat="1" ht="18" customHeight="1" x14ac:dyDescent="0.25">
      <c r="A44" s="2138"/>
      <c r="B44" s="2378"/>
      <c r="C44" s="2309"/>
      <c r="D44" s="2309"/>
      <c r="E44" s="2309"/>
      <c r="F44" s="2138"/>
      <c r="G44" s="2138"/>
      <c r="H44" s="2138"/>
      <c r="I44" s="2138"/>
      <c r="J44" s="2138"/>
      <c r="K44" s="2138"/>
      <c r="L44" s="2138"/>
      <c r="M44" s="2138"/>
      <c r="N44" s="2138"/>
      <c r="O44" s="2138"/>
      <c r="P44" s="2138"/>
      <c r="Q44" s="2138"/>
      <c r="R44" s="2138"/>
      <c r="S44" s="2138"/>
      <c r="T44" s="2138"/>
    </row>
    <row r="45" spans="1:20" s="2223" customFormat="1" ht="18" customHeight="1" x14ac:dyDescent="0.25">
      <c r="A45" s="2138"/>
      <c r="B45" s="2301" t="str">
        <f>B18</f>
        <v>Resíduos dispersos</v>
      </c>
      <c r="C45" s="2310">
        <f t="shared" ref="C45:C53" si="9">+L62</f>
        <v>0</v>
      </c>
      <c r="D45" s="2310">
        <f t="shared" ref="D45:D54" si="10">+L73</f>
        <v>0</v>
      </c>
      <c r="E45" s="2310">
        <f t="shared" ref="E45:E53" si="11">+D45+C45</f>
        <v>0</v>
      </c>
      <c r="F45" s="2138"/>
      <c r="G45" s="2138"/>
      <c r="H45" s="2138"/>
      <c r="I45" s="2138"/>
      <c r="J45" s="2138"/>
      <c r="K45" s="2138"/>
      <c r="L45" s="2138"/>
      <c r="M45" s="2138"/>
      <c r="N45" s="2138"/>
      <c r="O45" s="2138"/>
      <c r="P45" s="2138"/>
      <c r="Q45" s="2138"/>
      <c r="R45" s="2138"/>
      <c r="S45" s="2138"/>
      <c r="T45" s="2138"/>
    </row>
    <row r="46" spans="1:20" s="2223" customFormat="1" ht="18" customHeight="1" x14ac:dyDescent="0.25">
      <c r="A46" s="2138"/>
      <c r="B46" s="2301" t="str">
        <f t="shared" ref="B46:B54" si="12">B19</f>
        <v>Queima a céu aberto</v>
      </c>
      <c r="C46" s="2310">
        <f t="shared" si="9"/>
        <v>0</v>
      </c>
      <c r="D46" s="2310">
        <f t="shared" si="10"/>
        <v>0</v>
      </c>
      <c r="E46" s="2310">
        <f t="shared" si="11"/>
        <v>0</v>
      </c>
      <c r="F46" s="2138"/>
      <c r="G46" s="2138"/>
      <c r="H46" s="2138"/>
      <c r="I46" s="2138"/>
      <c r="J46" s="2138"/>
      <c r="K46" s="2138"/>
      <c r="L46" s="2138"/>
      <c r="M46" s="2138"/>
      <c r="N46" s="2138"/>
      <c r="O46" s="2138"/>
      <c r="P46" s="2138"/>
      <c r="Q46" s="2138"/>
      <c r="R46" s="2138"/>
      <c r="S46" s="2138"/>
      <c r="T46" s="2138"/>
    </row>
    <row r="47" spans="1:20" s="2223" customFormat="1" ht="18" customHeight="1" x14ac:dyDescent="0.25">
      <c r="A47" s="2138"/>
      <c r="B47" s="2301" t="str">
        <f t="shared" si="12"/>
        <v>Lixão não controlado</v>
      </c>
      <c r="C47" s="2310">
        <f t="shared" si="9"/>
        <v>0</v>
      </c>
      <c r="D47" s="2310">
        <f t="shared" si="10"/>
        <v>0</v>
      </c>
      <c r="E47" s="2310">
        <f t="shared" si="11"/>
        <v>0</v>
      </c>
      <c r="F47" s="2138"/>
      <c r="G47" s="2138"/>
      <c r="H47" s="2138"/>
      <c r="I47" s="2138"/>
      <c r="J47" s="2138"/>
      <c r="K47" s="2138"/>
      <c r="L47" s="2138"/>
      <c r="M47" s="2138"/>
      <c r="N47" s="2138"/>
      <c r="O47" s="2138"/>
      <c r="P47" s="2138"/>
      <c r="Q47" s="2138"/>
      <c r="R47" s="2138"/>
      <c r="S47" s="2138"/>
      <c r="T47" s="2138"/>
    </row>
    <row r="48" spans="1:20" s="2223" customFormat="1" ht="18" customHeight="1" x14ac:dyDescent="0.25">
      <c r="A48" s="2138"/>
      <c r="B48" s="2301" t="str">
        <f t="shared" si="12"/>
        <v>Aterro controlado</v>
      </c>
      <c r="C48" s="2310">
        <f t="shared" si="9"/>
        <v>0</v>
      </c>
      <c r="D48" s="2310">
        <f t="shared" si="10"/>
        <v>0</v>
      </c>
      <c r="E48" s="2310">
        <f t="shared" si="11"/>
        <v>0</v>
      </c>
      <c r="F48" s="2138"/>
      <c r="G48" s="2138"/>
      <c r="H48" s="2138"/>
      <c r="I48" s="2138"/>
      <c r="J48" s="2138"/>
      <c r="K48" s="2138"/>
      <c r="L48" s="2138"/>
      <c r="M48" s="2138"/>
      <c r="N48" s="2138"/>
      <c r="O48" s="2138"/>
      <c r="P48" s="2138"/>
      <c r="Q48" s="2138"/>
      <c r="R48" s="2138"/>
      <c r="S48" s="2138"/>
      <c r="T48" s="2138"/>
    </row>
    <row r="49" spans="1:56" s="2223" customFormat="1" ht="18" customHeight="1" x14ac:dyDescent="0.25">
      <c r="A49" s="2138"/>
      <c r="B49" s="2301" t="str">
        <f t="shared" si="12"/>
        <v>Aterro sanitário</v>
      </c>
      <c r="C49" s="2310">
        <f t="shared" si="9"/>
        <v>57836.728615648368</v>
      </c>
      <c r="D49" s="2310">
        <f t="shared" si="10"/>
        <v>0</v>
      </c>
      <c r="E49" s="2310">
        <f t="shared" si="11"/>
        <v>57836.728615648368</v>
      </c>
      <c r="F49" s="2138"/>
      <c r="G49" s="2138"/>
      <c r="H49" s="2138"/>
      <c r="I49" s="2138"/>
      <c r="J49" s="2138"/>
      <c r="K49" s="2138"/>
      <c r="L49" s="2138"/>
      <c r="M49" s="2138"/>
      <c r="N49" s="2138"/>
      <c r="O49" s="2138"/>
      <c r="P49" s="2138"/>
      <c r="Q49" s="2138"/>
      <c r="R49" s="2138"/>
      <c r="S49" s="2138"/>
      <c r="T49" s="2138"/>
    </row>
    <row r="50" spans="1:56" s="2223" customFormat="1" ht="18" customHeight="1" x14ac:dyDescent="0.25">
      <c r="A50" s="2138"/>
      <c r="B50" s="2301" t="str">
        <f t="shared" si="12"/>
        <v>Trat. biol + cobertura at.</v>
      </c>
      <c r="C50" s="2310">
        <f t="shared" si="9"/>
        <v>2893.2878483493746</v>
      </c>
      <c r="D50" s="2310">
        <f t="shared" si="10"/>
        <v>0</v>
      </c>
      <c r="E50" s="2310">
        <f t="shared" si="11"/>
        <v>2893.2878483493746</v>
      </c>
      <c r="F50" s="2138"/>
      <c r="G50" s="2138"/>
      <c r="H50" s="2138"/>
      <c r="I50" s="2138"/>
      <c r="J50" s="2138"/>
      <c r="K50" s="2138"/>
      <c r="L50" s="2138"/>
      <c r="M50" s="2138"/>
      <c r="N50" s="2138"/>
      <c r="O50" s="2138"/>
      <c r="P50" s="2138"/>
      <c r="Q50" s="2138"/>
      <c r="R50" s="2138"/>
      <c r="S50" s="2138"/>
      <c r="T50" s="2138"/>
    </row>
    <row r="51" spans="1:56" s="2223" customFormat="1" ht="18" customHeight="1" x14ac:dyDescent="0.25">
      <c r="A51" s="2138"/>
      <c r="B51" s="2301" t="str">
        <f t="shared" si="12"/>
        <v>CDR seco + rejeito aterro</v>
      </c>
      <c r="C51" s="2310">
        <f t="shared" si="9"/>
        <v>0</v>
      </c>
      <c r="D51" s="2310">
        <f t="shared" si="10"/>
        <v>0</v>
      </c>
      <c r="E51" s="2310">
        <f t="shared" si="11"/>
        <v>0</v>
      </c>
      <c r="F51" s="2138"/>
      <c r="G51" s="2382"/>
      <c r="H51" s="2383"/>
      <c r="I51" s="2383"/>
      <c r="J51" s="2383"/>
      <c r="K51" s="2311"/>
      <c r="L51" s="2138"/>
      <c r="M51" s="2138"/>
      <c r="N51" s="2138"/>
      <c r="O51" s="2138"/>
      <c r="P51" s="2138"/>
      <c r="Q51" s="2138"/>
      <c r="R51" s="2138"/>
      <c r="S51" s="2138"/>
      <c r="T51" s="2138"/>
    </row>
    <row r="52" spans="1:56" s="2223" customFormat="1" ht="18" customHeight="1" x14ac:dyDescent="0.25">
      <c r="A52" s="2138"/>
      <c r="B52" s="2301" t="str">
        <f t="shared" si="12"/>
        <v>CDR seco + trat. biol.</v>
      </c>
      <c r="C52" s="2310">
        <f t="shared" si="9"/>
        <v>0</v>
      </c>
      <c r="D52" s="2310">
        <f t="shared" si="10"/>
        <v>0</v>
      </c>
      <c r="E52" s="2310">
        <f t="shared" si="11"/>
        <v>0</v>
      </c>
      <c r="F52" s="2138"/>
      <c r="G52" s="2384"/>
      <c r="H52" s="2385" t="s">
        <v>1254</v>
      </c>
      <c r="I52" s="2268" t="s">
        <v>1269</v>
      </c>
      <c r="J52" s="2268" t="s">
        <v>1255</v>
      </c>
      <c r="K52" s="2311"/>
      <c r="L52" s="2138"/>
      <c r="M52" s="2138"/>
      <c r="N52" s="2138"/>
      <c r="O52" s="2138"/>
      <c r="P52" s="2138"/>
      <c r="Q52" s="2138"/>
      <c r="R52" s="2138"/>
      <c r="S52" s="2138"/>
      <c r="T52" s="2138"/>
    </row>
    <row r="53" spans="1:56" s="2223" customFormat="1" ht="18" customHeight="1" x14ac:dyDescent="0.25">
      <c r="A53" s="2138"/>
      <c r="B53" s="2301" t="str">
        <f t="shared" si="12"/>
        <v>CDR seco + CDR org.</v>
      </c>
      <c r="C53" s="2310">
        <f t="shared" si="9"/>
        <v>0</v>
      </c>
      <c r="D53" s="2310">
        <f t="shared" si="10"/>
        <v>0</v>
      </c>
      <c r="E53" s="2310">
        <f t="shared" si="11"/>
        <v>0</v>
      </c>
      <c r="F53" s="2138"/>
      <c r="G53" s="1965" t="s">
        <v>1256</v>
      </c>
      <c r="H53" s="2297">
        <f>SUM(C34:C41)</f>
        <v>10561.463048000001</v>
      </c>
      <c r="I53" s="2297">
        <f>SUM(C45:C54)</f>
        <v>60730.016463997745</v>
      </c>
      <c r="J53" s="2297">
        <f>+I53+H53</f>
        <v>71291.47951199775</v>
      </c>
      <c r="K53" s="2311"/>
      <c r="L53" s="2138"/>
      <c r="M53" s="2138"/>
      <c r="N53" s="2138"/>
      <c r="O53" s="2138"/>
      <c r="P53" s="2138"/>
      <c r="Q53" s="2138"/>
      <c r="R53" s="2138"/>
      <c r="S53" s="2138"/>
      <c r="T53" s="2138"/>
    </row>
    <row r="54" spans="1:56" s="2223" customFormat="1" ht="18" customHeight="1" x14ac:dyDescent="0.25">
      <c r="A54" s="2138"/>
      <c r="B54" s="2301" t="str">
        <f t="shared" si="12"/>
        <v>Incineração</v>
      </c>
      <c r="C54" s="2310">
        <f>+L71</f>
        <v>0</v>
      </c>
      <c r="D54" s="2310">
        <f t="shared" si="10"/>
        <v>0</v>
      </c>
      <c r="E54" s="2310">
        <f>+D54+C54</f>
        <v>0</v>
      </c>
      <c r="F54" s="2138"/>
      <c r="G54" s="1965" t="s">
        <v>1257</v>
      </c>
      <c r="H54" s="2297">
        <f>SUM(D34:D41)</f>
        <v>-31824.008943999997</v>
      </c>
      <c r="I54" s="2297">
        <f>SUM(D45:D54)</f>
        <v>0</v>
      </c>
      <c r="J54" s="2297">
        <f>+I54+H54</f>
        <v>-31824.008943999997</v>
      </c>
      <c r="K54" s="2311"/>
      <c r="L54" s="2138"/>
      <c r="M54" s="2138"/>
      <c r="N54" s="2138"/>
      <c r="O54" s="2138"/>
      <c r="P54" s="2138"/>
      <c r="Q54" s="2138"/>
      <c r="R54" s="2138"/>
      <c r="S54" s="2138"/>
      <c r="T54" s="2138"/>
    </row>
    <row r="55" spans="1:56" s="2223" customFormat="1" ht="18" customHeight="1" x14ac:dyDescent="0.25">
      <c r="A55" s="2138"/>
      <c r="B55" s="1906"/>
      <c r="C55" s="2306"/>
      <c r="D55" s="2306"/>
      <c r="E55" s="2306"/>
      <c r="F55" s="2138"/>
      <c r="G55" s="1965" t="s">
        <v>1258</v>
      </c>
      <c r="H55" s="2297">
        <f>+H53+H54</f>
        <v>-21262.545895999996</v>
      </c>
      <c r="I55" s="2297">
        <f>+I53+I54</f>
        <v>60730.016463997745</v>
      </c>
      <c r="J55" s="2297">
        <f>+I55+H55</f>
        <v>39467.470567997749</v>
      </c>
      <c r="K55" s="2311"/>
      <c r="L55" s="2138"/>
      <c r="M55" s="2138"/>
      <c r="N55" s="2138"/>
      <c r="O55" s="2138"/>
      <c r="P55" s="2138"/>
      <c r="Q55" s="2138"/>
      <c r="R55" s="2138"/>
      <c r="S55" s="2138"/>
      <c r="T55" s="2138"/>
    </row>
    <row r="56" spans="1:56" s="2223" customFormat="1" ht="18" customHeight="1" x14ac:dyDescent="0.25">
      <c r="A56" s="2138"/>
      <c r="B56" s="1977" t="s">
        <v>52</v>
      </c>
      <c r="C56" s="2330">
        <f>SUM(C34:C54)</f>
        <v>71291.479511997735</v>
      </c>
      <c r="D56" s="2330">
        <f>SUM(D34:D54)</f>
        <v>-31824.008943999997</v>
      </c>
      <c r="E56" s="2330">
        <f>+D56+C56</f>
        <v>39467.470567997734</v>
      </c>
      <c r="F56" s="2138"/>
      <c r="G56" s="2386"/>
      <c r="H56" s="2387"/>
      <c r="I56" s="2387"/>
      <c r="J56" s="2387"/>
      <c r="K56" s="2138"/>
      <c r="L56" s="2138"/>
      <c r="M56" s="2138"/>
      <c r="N56" s="2138"/>
      <c r="O56" s="2138"/>
      <c r="P56" s="2138"/>
      <c r="Q56" s="2138"/>
      <c r="R56" s="2138"/>
      <c r="S56" s="2138"/>
      <c r="T56" s="2138"/>
    </row>
    <row r="57" spans="1:56"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56"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56" s="2392" customFormat="1" ht="26.1" customHeight="1" x14ac:dyDescent="0.25">
      <c r="A59" s="2289" t="s">
        <v>1259</v>
      </c>
      <c r="B59" s="2388"/>
      <c r="C59" s="2388"/>
      <c r="D59" s="2388"/>
      <c r="E59" s="2388"/>
      <c r="F59" s="2389"/>
      <c r="G59" s="2388"/>
      <c r="H59" s="2388"/>
      <c r="I59" s="2388"/>
      <c r="J59" s="2388"/>
      <c r="K59" s="1910" t="s">
        <v>1270</v>
      </c>
      <c r="L59" s="2388"/>
      <c r="M59" s="2388"/>
      <c r="N59" s="2388"/>
      <c r="O59" s="2388"/>
      <c r="P59" s="2388"/>
      <c r="Q59" s="2388"/>
      <c r="R59" s="2388"/>
      <c r="S59" s="2388"/>
      <c r="T59" s="2388"/>
      <c r="U59" s="2390"/>
      <c r="V59" s="2391"/>
      <c r="W59" s="2391"/>
      <c r="X59" s="2391"/>
      <c r="Y59" s="2391"/>
      <c r="Z59" s="2391"/>
      <c r="AA59" s="2391"/>
      <c r="AB59" s="2391"/>
      <c r="AC59" s="2391"/>
      <c r="AD59" s="2391"/>
      <c r="AE59" s="2391"/>
      <c r="AF59" s="2391"/>
      <c r="AG59" s="2391"/>
      <c r="AH59" s="2391"/>
      <c r="AI59" s="2391"/>
      <c r="AJ59" s="2391"/>
      <c r="AK59" s="2391"/>
      <c r="AL59" s="2391"/>
      <c r="AM59" s="2391"/>
      <c r="AN59" s="2391"/>
      <c r="AO59" s="2391"/>
      <c r="AP59" s="2391"/>
      <c r="AQ59" s="2391"/>
      <c r="AR59" s="2391"/>
      <c r="AS59" s="2391"/>
      <c r="AT59" s="2391"/>
      <c r="AU59" s="2391"/>
      <c r="AV59" s="2391"/>
      <c r="AW59" s="2391"/>
      <c r="AX59" s="2391"/>
      <c r="AY59" s="2391"/>
      <c r="AZ59" s="2391"/>
      <c r="BA59" s="2391"/>
      <c r="BB59" s="2391"/>
      <c r="BC59" s="2391"/>
      <c r="BD59" s="2391"/>
    </row>
    <row r="60" spans="1:56"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56" ht="18" customHeight="1" x14ac:dyDescent="0.2">
      <c r="A61" s="1888"/>
      <c r="B61" s="2393"/>
      <c r="C61" s="2268" t="s">
        <v>1238</v>
      </c>
      <c r="D61" s="2268" t="s">
        <v>1258</v>
      </c>
      <c r="E61" s="1888"/>
      <c r="F61" s="1888"/>
      <c r="G61" s="1888"/>
      <c r="H61" s="1888"/>
      <c r="I61" s="1888"/>
      <c r="J61" s="1888"/>
      <c r="K61" s="2394"/>
      <c r="L61" s="2268" t="s">
        <v>1266</v>
      </c>
      <c r="M61" s="2268" t="s">
        <v>1258</v>
      </c>
      <c r="N61" s="1888"/>
      <c r="O61" s="1888"/>
      <c r="P61" s="1888"/>
      <c r="Q61" s="1888"/>
      <c r="R61" s="1888"/>
      <c r="S61" s="1888"/>
      <c r="T61" s="1888"/>
    </row>
    <row r="62" spans="1:56" ht="18" customHeight="1" x14ac:dyDescent="0.2">
      <c r="A62" s="1888"/>
      <c r="B62" s="2301" t="str">
        <f>+'CO2 - Cálculos'!AC16</f>
        <v>Resíduos de alimentos</v>
      </c>
      <c r="C62" s="2297">
        <f>+'CO2 - Cálculos'!AH16</f>
        <v>0</v>
      </c>
      <c r="D62" s="2022"/>
      <c r="E62" s="1888"/>
      <c r="F62" s="1888"/>
      <c r="G62" s="1888"/>
      <c r="H62" s="1888"/>
      <c r="I62" s="1888"/>
      <c r="J62" s="1888"/>
      <c r="K62" s="2298" t="str">
        <f>+'CO2 - Cálculos'!AC61</f>
        <v>Resíduos dispersos</v>
      </c>
      <c r="L62" s="2297">
        <f>+'CO2 - Cálculos'!AH61</f>
        <v>0</v>
      </c>
      <c r="M62" s="2022"/>
      <c r="N62" s="1888"/>
      <c r="O62" s="1888"/>
      <c r="P62" s="1888"/>
      <c r="Q62" s="1888"/>
      <c r="R62" s="1888"/>
      <c r="S62" s="1888"/>
      <c r="T62" s="1888"/>
    </row>
    <row r="63" spans="1:56" ht="18" customHeight="1" x14ac:dyDescent="0.2">
      <c r="A63" s="1888"/>
      <c r="B63" s="2301" t="str">
        <f>+'CO2 - Cálculos'!AC17</f>
        <v>Resíduos de jardins e parques</v>
      </c>
      <c r="C63" s="2297">
        <f>+'CO2 - Cálculos'!AH17</f>
        <v>0</v>
      </c>
      <c r="D63" s="2022"/>
      <c r="E63" s="1888"/>
      <c r="F63" s="1888"/>
      <c r="G63" s="1888"/>
      <c r="H63" s="1888"/>
      <c r="I63" s="1888"/>
      <c r="J63" s="1888"/>
      <c r="K63" s="2298" t="str">
        <f>+'CO2 - Cálculos'!AC62</f>
        <v>Queima a céu aberto</v>
      </c>
      <c r="L63" s="2297">
        <f>+'CO2 - Cálculos'!AH62</f>
        <v>0</v>
      </c>
      <c r="M63" s="2022"/>
      <c r="N63" s="1888"/>
      <c r="O63" s="1888"/>
      <c r="P63" s="1888"/>
      <c r="Q63" s="1888"/>
      <c r="R63" s="1888"/>
      <c r="S63" s="1888"/>
      <c r="T63" s="1888"/>
    </row>
    <row r="64" spans="1:56" ht="18" customHeight="1" x14ac:dyDescent="0.2">
      <c r="A64" s="1888"/>
      <c r="B64" s="2301" t="str">
        <f>+'CO2 - Cálculos'!AC18</f>
        <v>Papel, papelão</v>
      </c>
      <c r="C64" s="2297">
        <f>+'CO2 - Cálculos'!AH18</f>
        <v>7999.4112480000003</v>
      </c>
      <c r="D64" s="2022"/>
      <c r="E64" s="1888"/>
      <c r="F64" s="1888"/>
      <c r="G64" s="1888"/>
      <c r="H64" s="1888"/>
      <c r="I64" s="1888"/>
      <c r="J64" s="1888"/>
      <c r="K64" s="2298" t="str">
        <f>+'CO2 - Cálculos'!AC63</f>
        <v>Lixão não controlado</v>
      </c>
      <c r="L64" s="2297">
        <f>+'CO2 - Cálculos'!AH63</f>
        <v>0</v>
      </c>
      <c r="M64" s="2022"/>
      <c r="N64" s="1888"/>
      <c r="O64" s="1888"/>
      <c r="P64" s="1888"/>
      <c r="Q64" s="1888"/>
      <c r="R64" s="1888"/>
      <c r="S64" s="1888"/>
      <c r="T64" s="1888"/>
    </row>
    <row r="65" spans="1:20" ht="18" customHeight="1" x14ac:dyDescent="0.2">
      <c r="A65" s="1888"/>
      <c r="B65" s="2301" t="str">
        <f>+'CO2 - Cálculos'!AC19</f>
        <v>Plásticos</v>
      </c>
      <c r="C65" s="2297">
        <f>+'CO2 - Cálculos'!AH19</f>
        <v>1777.8420000000001</v>
      </c>
      <c r="D65" s="2022"/>
      <c r="E65" s="1888"/>
      <c r="F65" s="1888"/>
      <c r="G65" s="1888"/>
      <c r="H65" s="1888"/>
      <c r="I65" s="1888"/>
      <c r="J65" s="1888"/>
      <c r="K65" s="2298" t="str">
        <f>+'CO2 - Cálculos'!AC64</f>
        <v>Aterro controlado</v>
      </c>
      <c r="L65" s="2297">
        <f>+'CO2 - Cálculos'!AH64</f>
        <v>0</v>
      </c>
      <c r="M65" s="2022"/>
      <c r="N65" s="1888"/>
      <c r="O65" s="1888"/>
      <c r="P65" s="1888"/>
      <c r="Q65" s="1888"/>
      <c r="R65" s="1888"/>
      <c r="S65" s="1888"/>
      <c r="T65" s="1888"/>
    </row>
    <row r="66" spans="1:20" ht="18" customHeight="1" x14ac:dyDescent="0.2">
      <c r="A66" s="1888"/>
      <c r="B66" s="2301" t="str">
        <f>+'CO2 - Cálculos'!AC20</f>
        <v>Vidros</v>
      </c>
      <c r="C66" s="2297">
        <f>+'CO2 - Cálculos'!AH20</f>
        <v>0</v>
      </c>
      <c r="D66" s="2022"/>
      <c r="E66" s="1888"/>
      <c r="F66" s="1888"/>
      <c r="G66" s="1888"/>
      <c r="H66" s="1888"/>
      <c r="I66" s="1888"/>
      <c r="J66" s="1888"/>
      <c r="K66" s="2298" t="str">
        <f>+'CO2 - Cálculos'!AC65</f>
        <v>Aterro sanitário</v>
      </c>
      <c r="L66" s="2297">
        <f>+'CO2 - Cálculos'!AH65</f>
        <v>57836.728615648368</v>
      </c>
      <c r="M66" s="2022"/>
      <c r="N66" s="1888"/>
      <c r="O66" s="1888"/>
      <c r="P66" s="1888"/>
      <c r="Q66" s="1888"/>
      <c r="R66" s="1888"/>
      <c r="S66" s="1888"/>
      <c r="T66" s="1888"/>
    </row>
    <row r="67" spans="1:20" ht="18" customHeight="1" x14ac:dyDescent="0.2">
      <c r="A67" s="1888"/>
      <c r="B67" s="2301" t="str">
        <f>+'CO2 - Cálculos'!AC21</f>
        <v>Metais ferrosos</v>
      </c>
      <c r="C67" s="2297">
        <f>+'CO2 - Cálculos'!AH21</f>
        <v>204.16639999999998</v>
      </c>
      <c r="D67" s="2022"/>
      <c r="E67" s="1888"/>
      <c r="F67" s="1888"/>
      <c r="G67" s="1888"/>
      <c r="H67" s="1888"/>
      <c r="I67" s="1888"/>
      <c r="J67" s="2360"/>
      <c r="K67" s="2298" t="str">
        <f>+'CO2 - Cálculos'!AC66</f>
        <v>Trat. biol + cobertura at.</v>
      </c>
      <c r="L67" s="2297">
        <f>+'CO2 - Cálculos'!AH66</f>
        <v>2893.2878483493746</v>
      </c>
      <c r="M67" s="2022"/>
      <c r="N67" s="1888"/>
      <c r="O67" s="1888"/>
      <c r="P67" s="1888"/>
      <c r="Q67" s="1888"/>
      <c r="R67" s="1888"/>
      <c r="S67" s="1888"/>
      <c r="T67" s="1888"/>
    </row>
    <row r="68" spans="1:20" ht="18" customHeight="1" x14ac:dyDescent="0.2">
      <c r="A68" s="1888"/>
      <c r="B68" s="2301" t="str">
        <f>+'CO2 - Cálculos'!AC22</f>
        <v>Alumínio</v>
      </c>
      <c r="C68" s="2297">
        <f>+'CO2 - Cálculos'!AH22</f>
        <v>580.04339999999991</v>
      </c>
      <c r="D68" s="2022"/>
      <c r="E68" s="1888"/>
      <c r="F68" s="1888"/>
      <c r="G68" s="1888"/>
      <c r="H68" s="1888"/>
      <c r="I68" s="1888"/>
      <c r="J68" s="2395"/>
      <c r="K68" s="2298" t="str">
        <f>+'CO2 - Cálculos'!AC67</f>
        <v>CDR seco + rejeito aterro</v>
      </c>
      <c r="L68" s="2297">
        <f>+'CO2 - Cálculos'!AH67</f>
        <v>0</v>
      </c>
      <c r="M68" s="2022"/>
      <c r="N68" s="1888"/>
      <c r="O68" s="1888"/>
      <c r="P68" s="1888"/>
      <c r="Q68" s="1888"/>
      <c r="R68" s="1888"/>
      <c r="S68" s="1888"/>
      <c r="T68" s="1888"/>
    </row>
    <row r="69" spans="1:20" ht="18" customHeight="1" x14ac:dyDescent="0.2">
      <c r="A69" s="2232"/>
      <c r="B69" s="2301" t="str">
        <f>+'CO2 - Cálculos'!AC23</f>
        <v>Têxteis</v>
      </c>
      <c r="C69" s="2297">
        <f>+'CO2 - Cálculos'!AH23</f>
        <v>0</v>
      </c>
      <c r="D69" s="2022"/>
      <c r="E69" s="1888"/>
      <c r="F69" s="1888"/>
      <c r="G69" s="1888"/>
      <c r="H69" s="1888"/>
      <c r="I69" s="1888"/>
      <c r="J69" s="2360"/>
      <c r="K69" s="2298" t="str">
        <f>+'CO2 - Cálculos'!AC68</f>
        <v>CDR seco + trat. biol.</v>
      </c>
      <c r="L69" s="2297">
        <f>+'CO2 - Cálculos'!AH68</f>
        <v>0</v>
      </c>
      <c r="M69" s="2022"/>
      <c r="N69" s="1888"/>
      <c r="O69" s="1888"/>
      <c r="P69" s="1888"/>
      <c r="Q69" s="1888"/>
      <c r="R69" s="1888"/>
      <c r="S69" s="1888"/>
      <c r="T69" s="1888"/>
    </row>
    <row r="70" spans="1:20" ht="18" customHeight="1" x14ac:dyDescent="0.2">
      <c r="A70" s="1888"/>
      <c r="B70" s="2361" t="s">
        <v>1256</v>
      </c>
      <c r="C70" s="2022"/>
      <c r="D70" s="2299"/>
      <c r="E70" s="1888"/>
      <c r="F70" s="1888"/>
      <c r="G70" s="1888"/>
      <c r="H70" s="1888"/>
      <c r="I70" s="1888"/>
      <c r="J70" s="2396"/>
      <c r="K70" s="2298" t="str">
        <f>+'CO2 - Cálculos'!AC69</f>
        <v>CDR seco + CDR org.</v>
      </c>
      <c r="L70" s="2297">
        <f>+'CO2 - Cálculos'!AH69</f>
        <v>0</v>
      </c>
      <c r="M70" s="2022"/>
      <c r="N70" s="1888"/>
      <c r="O70" s="1888"/>
      <c r="P70" s="1888"/>
      <c r="Q70" s="1888"/>
      <c r="R70" s="1888"/>
      <c r="S70" s="1888"/>
      <c r="T70" s="1888"/>
    </row>
    <row r="71" spans="1:20" ht="18" customHeight="1" x14ac:dyDescent="0.2">
      <c r="A71" s="1888"/>
      <c r="B71" s="2298" t="str">
        <f>+'CO2 - Cálculos'!AC25</f>
        <v>Resíduos de alimentos</v>
      </c>
      <c r="C71" s="2297">
        <f>+'CO2 - Cálculos'!AH25</f>
        <v>0</v>
      </c>
      <c r="D71" s="2022"/>
      <c r="E71" s="1888"/>
      <c r="F71" s="1888"/>
      <c r="G71" s="1888"/>
      <c r="H71" s="1888"/>
      <c r="I71" s="1888"/>
      <c r="J71" s="1888"/>
      <c r="K71" s="2298" t="str">
        <f>+'CO2 - Cálculos'!AC70</f>
        <v>Incineração</v>
      </c>
      <c r="L71" s="2297">
        <f>+'CO2 - Cálculos'!AH70</f>
        <v>0</v>
      </c>
      <c r="M71" s="2022"/>
      <c r="N71" s="1888"/>
      <c r="O71" s="1888"/>
      <c r="P71" s="1888"/>
      <c r="Q71" s="1888"/>
      <c r="R71" s="1888"/>
      <c r="S71" s="1888"/>
      <c r="T71" s="1888"/>
    </row>
    <row r="72" spans="1:20" ht="18" customHeight="1" x14ac:dyDescent="0.2">
      <c r="A72" s="1888"/>
      <c r="B72" s="2298" t="str">
        <f>+'CO2 - Cálculos'!AC26</f>
        <v>Resíduos de jardins e parques</v>
      </c>
      <c r="C72" s="2297">
        <f>+'CO2 - Cálculos'!AH26</f>
        <v>0</v>
      </c>
      <c r="D72" s="2022"/>
      <c r="E72" s="1888"/>
      <c r="F72" s="1888"/>
      <c r="G72" s="1888"/>
      <c r="H72" s="1888"/>
      <c r="I72" s="1888"/>
      <c r="J72" s="1888"/>
      <c r="K72" s="2361" t="s">
        <v>1256</v>
      </c>
      <c r="L72" s="2022"/>
      <c r="M72" s="2022"/>
      <c r="N72" s="1888"/>
      <c r="O72" s="1888"/>
      <c r="P72" s="1888"/>
      <c r="Q72" s="1888"/>
      <c r="R72" s="1888"/>
      <c r="S72" s="1888"/>
      <c r="T72" s="1888"/>
    </row>
    <row r="73" spans="1:20" ht="18" customHeight="1" x14ac:dyDescent="0.2">
      <c r="A73" s="1888"/>
      <c r="B73" s="2298" t="str">
        <f>+'CO2 - Cálculos'!AC27</f>
        <v>Papel, papelão</v>
      </c>
      <c r="C73" s="2297">
        <f>+'CO2 - Cálculos'!AH27</f>
        <v>-9859.1469840000009</v>
      </c>
      <c r="D73" s="2022"/>
      <c r="E73" s="1888"/>
      <c r="F73" s="1888"/>
      <c r="G73" s="1888"/>
      <c r="H73" s="1888"/>
      <c r="I73" s="1888"/>
      <c r="J73" s="1888"/>
      <c r="K73" s="2298" t="str">
        <f>+'CO2 - Cálculos'!AC72</f>
        <v>Resíduos dispersos</v>
      </c>
      <c r="L73" s="2297">
        <f>+'CO2 - Cálculos'!AH72</f>
        <v>0</v>
      </c>
      <c r="M73" s="2022"/>
      <c r="N73" s="1888"/>
      <c r="O73" s="1888"/>
      <c r="P73" s="1888"/>
      <c r="Q73" s="1888"/>
      <c r="R73" s="1888"/>
      <c r="S73" s="1888"/>
      <c r="T73" s="1888"/>
    </row>
    <row r="74" spans="1:20" ht="18" customHeight="1" x14ac:dyDescent="0.2">
      <c r="A74" s="1888"/>
      <c r="B74" s="2298" t="str">
        <f>+'CO2 - Cálculos'!AC28</f>
        <v>Plásticos</v>
      </c>
      <c r="C74" s="2297">
        <f>+'CO2 - Cálculos'!AH28</f>
        <v>-8281.2747600000002</v>
      </c>
      <c r="D74" s="2022"/>
      <c r="E74" s="1888"/>
      <c r="F74" s="1888"/>
      <c r="G74" s="1888"/>
      <c r="H74" s="1888"/>
      <c r="I74" s="1888"/>
      <c r="J74" s="1888"/>
      <c r="K74" s="2298" t="str">
        <f>+'CO2 - Cálculos'!AC73</f>
        <v>Queima a céu aberto</v>
      </c>
      <c r="L74" s="2297">
        <f>+'CO2 - Cálculos'!AH73</f>
        <v>0</v>
      </c>
      <c r="M74" s="2022"/>
      <c r="N74" s="1888"/>
      <c r="O74" s="1888"/>
      <c r="P74" s="1888"/>
      <c r="Q74" s="1888"/>
      <c r="R74" s="1888"/>
      <c r="S74" s="1888"/>
      <c r="T74" s="1888"/>
    </row>
    <row r="75" spans="1:20" ht="18" customHeight="1" x14ac:dyDescent="0.2">
      <c r="A75" s="1888"/>
      <c r="B75" s="2298" t="str">
        <f>+'CO2 - Cálculos'!AC29</f>
        <v>Vidros</v>
      </c>
      <c r="C75" s="2297">
        <f>+'CO2 - Cálculos'!AH29</f>
        <v>0</v>
      </c>
      <c r="D75" s="2022"/>
      <c r="E75" s="1888"/>
      <c r="F75" s="1888"/>
      <c r="G75" s="1888"/>
      <c r="H75" s="1888"/>
      <c r="I75" s="1888"/>
      <c r="J75" s="1888"/>
      <c r="K75" s="2298" t="str">
        <f>+'CO2 - Cálculos'!AC74</f>
        <v>Lixão não controlado</v>
      </c>
      <c r="L75" s="2297">
        <f>+'CO2 - Cálculos'!AH74</f>
        <v>0</v>
      </c>
      <c r="M75" s="2022"/>
      <c r="N75" s="1888"/>
      <c r="O75" s="1888"/>
      <c r="P75" s="1888"/>
      <c r="Q75" s="1888"/>
      <c r="R75" s="1888"/>
      <c r="S75" s="1888"/>
      <c r="T75" s="1888"/>
    </row>
    <row r="76" spans="1:20" ht="18" customHeight="1" x14ac:dyDescent="0.2">
      <c r="A76" s="1888"/>
      <c r="B76" s="2298" t="str">
        <f>+'CO2 - Cálculos'!AC30</f>
        <v>Metais ferrosos</v>
      </c>
      <c r="C76" s="2297">
        <f>+'CO2 - Cálculos'!AH30</f>
        <v>-5461.4512000000004</v>
      </c>
      <c r="D76" s="2022"/>
      <c r="E76" s="1888"/>
      <c r="F76" s="1888"/>
      <c r="G76" s="1888"/>
      <c r="H76" s="1888"/>
      <c r="I76" s="1888"/>
      <c r="J76" s="1888"/>
      <c r="K76" s="2298" t="str">
        <f>+'CO2 - Cálculos'!AC75</f>
        <v>Aterro controlado</v>
      </c>
      <c r="L76" s="2297">
        <f>+'CO2 - Cálculos'!AH75</f>
        <v>0</v>
      </c>
      <c r="M76" s="2022"/>
      <c r="N76" s="1888"/>
      <c r="O76" s="1888"/>
      <c r="P76" s="1888"/>
      <c r="Q76" s="1888"/>
      <c r="R76" s="1888"/>
      <c r="S76" s="1888"/>
      <c r="T76" s="1888"/>
    </row>
    <row r="77" spans="1:20" ht="18" customHeight="1" x14ac:dyDescent="0.2">
      <c r="A77" s="1888"/>
      <c r="B77" s="2298" t="str">
        <f>+'CO2 - Cálculos'!AC31</f>
        <v>Alumínio</v>
      </c>
      <c r="C77" s="2297">
        <f>+'CO2 - Cálculos'!AH31</f>
        <v>-8222.1359999999986</v>
      </c>
      <c r="D77" s="2022"/>
      <c r="E77" s="1888"/>
      <c r="F77" s="1888"/>
      <c r="G77" s="1888"/>
      <c r="H77" s="1888"/>
      <c r="I77" s="1888"/>
      <c r="J77" s="2360"/>
      <c r="K77" s="2298" t="str">
        <f>+'CO2 - Cálculos'!AC76</f>
        <v>Aterro sanitário</v>
      </c>
      <c r="L77" s="2297">
        <f>+'CO2 - Cálculos'!AH76</f>
        <v>0</v>
      </c>
      <c r="M77" s="2022"/>
      <c r="N77" s="1888"/>
      <c r="O77" s="1888"/>
      <c r="P77" s="1888"/>
      <c r="Q77" s="1888"/>
      <c r="R77" s="1888"/>
      <c r="S77" s="1888"/>
      <c r="T77" s="1888"/>
    </row>
    <row r="78" spans="1:20" ht="18" customHeight="1" x14ac:dyDescent="0.2">
      <c r="A78" s="1888"/>
      <c r="B78" s="2298" t="str">
        <f>+'CO2 - Cálculos'!AC32</f>
        <v>Têxteis</v>
      </c>
      <c r="C78" s="2297">
        <f>+'CO2 - Cálculos'!AH32</f>
        <v>0</v>
      </c>
      <c r="D78" s="2022"/>
      <c r="E78" s="1888"/>
      <c r="F78" s="1888"/>
      <c r="G78" s="1888"/>
      <c r="H78" s="1888"/>
      <c r="I78" s="1888"/>
      <c r="K78" s="2298" t="str">
        <f>+'CO2 - Cálculos'!AC77</f>
        <v>Trat. biol + cobertura at.</v>
      </c>
      <c r="L78" s="2297">
        <f>+'CO2 - Cálculos'!AH77</f>
        <v>0</v>
      </c>
      <c r="M78" s="2022"/>
      <c r="N78" s="1888"/>
      <c r="O78" s="1888"/>
      <c r="P78" s="1888"/>
      <c r="Q78" s="1888"/>
      <c r="R78" s="1888"/>
      <c r="S78" s="1888"/>
      <c r="T78" s="1888"/>
    </row>
    <row r="79" spans="1:20" ht="18" customHeight="1" x14ac:dyDescent="0.2">
      <c r="A79" s="1888"/>
      <c r="B79" s="2363" t="s">
        <v>1257</v>
      </c>
      <c r="C79" s="2022"/>
      <c r="D79" s="2299"/>
      <c r="E79" s="1888"/>
      <c r="F79" s="1888"/>
      <c r="G79" s="1888"/>
      <c r="H79" s="1888"/>
      <c r="I79" s="1888"/>
      <c r="J79" s="2360"/>
      <c r="K79" s="2298" t="str">
        <f>+'CO2 - Cálculos'!AC78</f>
        <v>CDR seco + rejeito aterro</v>
      </c>
      <c r="L79" s="2297">
        <f>+'CO2 - Cálculos'!AH78</f>
        <v>0</v>
      </c>
      <c r="M79" s="2022"/>
      <c r="N79" s="1888"/>
      <c r="O79" s="1888"/>
      <c r="P79" s="1888"/>
      <c r="Q79" s="1888"/>
      <c r="R79" s="1888"/>
      <c r="S79" s="1888"/>
      <c r="T79" s="1888"/>
    </row>
    <row r="80" spans="1:20" ht="18" customHeight="1" x14ac:dyDescent="0.2">
      <c r="A80" s="1888"/>
      <c r="B80" s="2363" t="s">
        <v>1258</v>
      </c>
      <c r="C80" s="2022"/>
      <c r="D80" s="2297">
        <f>SUM(C62:C69,C71:C78)</f>
        <v>-21262.545896</v>
      </c>
      <c r="E80" s="1888"/>
      <c r="F80" s="1888"/>
      <c r="G80" s="1888"/>
      <c r="H80" s="1888"/>
      <c r="I80" s="1888"/>
      <c r="J80" s="1888"/>
      <c r="K80" s="2298" t="str">
        <f>+'CO2 - Cálculos'!AC79</f>
        <v>CDR seco + trat. biol.</v>
      </c>
      <c r="L80" s="2297">
        <f>+'CO2 - Cálculos'!AH79</f>
        <v>0</v>
      </c>
      <c r="M80" s="2022"/>
      <c r="N80" s="1888"/>
      <c r="O80" s="1888"/>
      <c r="P80" s="1888"/>
      <c r="Q80" s="1888"/>
      <c r="R80" s="1888"/>
      <c r="S80" s="1888"/>
      <c r="T80" s="1888"/>
    </row>
    <row r="81" spans="1:20" ht="14.25" x14ac:dyDescent="0.2">
      <c r="A81" s="1888"/>
      <c r="B81" s="1888"/>
      <c r="C81" s="2397"/>
      <c r="D81" s="2397"/>
      <c r="E81" s="1888"/>
      <c r="F81" s="1888"/>
      <c r="G81" s="1888"/>
      <c r="H81" s="1888"/>
      <c r="I81" s="1888"/>
      <c r="J81" s="1888"/>
      <c r="K81" s="2298" t="str">
        <f>+'CO2 - Cálculos'!AC80</f>
        <v>CDR seco + CDR org.</v>
      </c>
      <c r="L81" s="2297">
        <f>+'CO2 - Cálculos'!AH80</f>
        <v>0</v>
      </c>
      <c r="M81" s="2022"/>
      <c r="N81" s="1888"/>
      <c r="O81" s="1888"/>
      <c r="P81" s="1888"/>
      <c r="Q81" s="1888"/>
      <c r="R81" s="1888"/>
      <c r="S81" s="1888"/>
      <c r="T81" s="1888"/>
    </row>
    <row r="82" spans="1:20" ht="14.25" x14ac:dyDescent="0.2">
      <c r="A82" s="1888"/>
      <c r="B82" s="1888"/>
      <c r="C82" s="1888"/>
      <c r="D82" s="1888"/>
      <c r="E82" s="2265"/>
      <c r="F82" s="1888"/>
      <c r="G82" s="1888"/>
      <c r="H82" s="1888"/>
      <c r="I82" s="1888"/>
      <c r="J82" s="1888"/>
      <c r="K82" s="2298" t="str">
        <f>+'CO2 - Cálculos'!AC81</f>
        <v>Incineração</v>
      </c>
      <c r="L82" s="2297">
        <f>+'CO2 - Cálculos'!AH81</f>
        <v>0</v>
      </c>
      <c r="M82" s="2022"/>
      <c r="N82" s="1888"/>
      <c r="O82" s="1888"/>
      <c r="P82" s="1888"/>
      <c r="Q82" s="1888"/>
      <c r="R82" s="1888"/>
      <c r="S82" s="1888"/>
      <c r="T82" s="1888"/>
    </row>
    <row r="83" spans="1:20" ht="14.25" x14ac:dyDescent="0.2">
      <c r="A83" s="1888"/>
      <c r="B83" s="1888"/>
      <c r="C83" s="1888"/>
      <c r="D83" s="1888"/>
      <c r="E83" s="2265"/>
      <c r="F83" s="1888"/>
      <c r="G83" s="1888"/>
      <c r="H83" s="1888"/>
      <c r="I83" s="1888"/>
      <c r="J83" s="1888"/>
      <c r="K83" s="2363" t="s">
        <v>1257</v>
      </c>
      <c r="L83" s="2022"/>
      <c r="M83" s="2022"/>
      <c r="N83" s="1888"/>
      <c r="O83" s="1888"/>
      <c r="P83" s="1888"/>
      <c r="Q83" s="1888"/>
      <c r="R83" s="1888"/>
      <c r="S83" s="1888"/>
      <c r="T83" s="1888"/>
    </row>
    <row r="84" spans="1:20" ht="14.25" x14ac:dyDescent="0.2">
      <c r="A84" s="1888"/>
      <c r="B84" s="1888"/>
      <c r="C84" s="1888"/>
      <c r="D84" s="1888"/>
      <c r="E84" s="2265"/>
      <c r="F84" s="1888"/>
      <c r="G84" s="1888"/>
      <c r="H84" s="1888"/>
      <c r="I84" s="1888"/>
      <c r="J84" s="1888"/>
      <c r="K84" s="2363" t="s">
        <v>1258</v>
      </c>
      <c r="L84" s="2022"/>
      <c r="M84" s="2297">
        <f>SUM(L62:L71,L73:L82)</f>
        <v>60730.016463997745</v>
      </c>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2397"/>
      <c r="M85" s="2397"/>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A6CAD-9428-44A8-B087-F3A9DC7DC9C8}">
  <dimension ref="A1:AU120"/>
  <sheetViews>
    <sheetView zoomScale="78" zoomScaleNormal="78"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140625" style="1844" customWidth="1"/>
    <col min="4" max="4" width="15.42578125" style="1844" bestFit="1" customWidth="1"/>
    <col min="5" max="5" width="16.42578125" style="1844" customWidth="1"/>
    <col min="6" max="7" width="11.42578125" style="1844"/>
    <col min="8" max="8" width="14.85546875" style="1844" bestFit="1" customWidth="1"/>
    <col min="9" max="9" width="18.5703125" style="1844" bestFit="1" customWidth="1"/>
    <col min="10" max="10" width="16.42578125" style="1844" customWidth="1"/>
    <col min="11" max="11" width="15.42578125" style="1844" customWidth="1"/>
    <col min="12" max="12" width="19.42578125" style="1844" bestFit="1" customWidth="1"/>
    <col min="13" max="13" width="11" style="1844" customWidth="1"/>
    <col min="14" max="14" width="11.85546875" style="1844" customWidth="1"/>
    <col min="15" max="16384" width="11.42578125" style="1844"/>
  </cols>
  <sheetData>
    <row r="1" spans="1:45" s="2227" customFormat="1" ht="26.1" customHeight="1" x14ac:dyDescent="0.2">
      <c r="A1" s="2289" t="s">
        <v>1268</v>
      </c>
      <c r="B1" s="2398"/>
      <c r="C1" s="2398"/>
      <c r="D1" s="2398"/>
      <c r="E1" s="2398"/>
      <c r="F1" s="2028"/>
      <c r="G1" s="2028"/>
      <c r="H1" s="2028"/>
      <c r="I1" s="2028"/>
      <c r="J1" s="2028"/>
      <c r="K1" s="2028"/>
      <c r="L1" s="2028"/>
      <c r="M1" s="2028"/>
      <c r="N1" s="2028"/>
      <c r="O1" s="2028"/>
      <c r="P1" s="2028"/>
      <c r="Q1" s="2028"/>
      <c r="R1" s="2028"/>
      <c r="S1" s="2028"/>
      <c r="T1" s="2028"/>
      <c r="U1" s="1843"/>
      <c r="V1" s="1843"/>
      <c r="W1" s="1843"/>
      <c r="X1" s="1843"/>
      <c r="Y1" s="1843"/>
      <c r="Z1" s="1843"/>
      <c r="AA1" s="1843"/>
      <c r="AB1" s="1843"/>
      <c r="AC1" s="1843"/>
      <c r="AD1" s="1843"/>
      <c r="AE1" s="1843"/>
      <c r="AF1" s="1843"/>
      <c r="AG1" s="1843"/>
      <c r="AH1" s="1843"/>
      <c r="AI1" s="1843"/>
      <c r="AJ1" s="1843"/>
      <c r="AK1" s="1843"/>
      <c r="AL1" s="1843"/>
      <c r="AM1" s="1843"/>
      <c r="AN1" s="1843"/>
      <c r="AO1" s="1843"/>
      <c r="AP1" s="1843"/>
      <c r="AQ1" s="1843"/>
      <c r="AR1" s="1843"/>
      <c r="AS1" s="1843"/>
    </row>
    <row r="2" spans="1:45" ht="14.25" customHeight="1" x14ac:dyDescent="0.25">
      <c r="A2" s="2399"/>
      <c r="B2" s="2400"/>
      <c r="C2" s="1888"/>
      <c r="D2" s="1888"/>
      <c r="E2" s="1888"/>
      <c r="F2" s="1888"/>
      <c r="G2" s="1888"/>
      <c r="H2" s="1888"/>
      <c r="I2" s="1888"/>
      <c r="J2" s="1888"/>
      <c r="K2" s="1888"/>
      <c r="L2" s="1888"/>
      <c r="M2" s="1888"/>
      <c r="N2" s="1888"/>
      <c r="O2" s="1888"/>
      <c r="P2" s="1888"/>
      <c r="Q2" s="1888"/>
      <c r="R2" s="1888"/>
      <c r="S2" s="1888"/>
      <c r="T2" s="1888"/>
    </row>
    <row r="3" spans="1:45" ht="18" customHeight="1" x14ac:dyDescent="0.25">
      <c r="A3" s="1888"/>
      <c r="B3" s="2230" t="s">
        <v>1237</v>
      </c>
      <c r="C3" s="2231">
        <f>+'CO2 - Cálculos'!AI58</f>
        <v>146000</v>
      </c>
      <c r="D3" s="2232"/>
      <c r="E3" s="2232"/>
      <c r="F3" s="1888"/>
      <c r="G3" s="1888"/>
      <c r="H3" s="1888"/>
      <c r="I3" s="1888"/>
      <c r="J3" s="1888"/>
      <c r="K3" s="1888"/>
      <c r="L3" s="1888"/>
      <c r="M3" s="1888"/>
      <c r="N3" s="1888"/>
      <c r="O3" s="1888"/>
      <c r="P3" s="1888"/>
      <c r="Q3" s="1888"/>
      <c r="R3" s="1888"/>
      <c r="S3" s="1888"/>
      <c r="T3" s="1888"/>
    </row>
    <row r="4" spans="1:45" ht="18" customHeight="1" x14ac:dyDescent="0.25">
      <c r="A4" s="1888"/>
      <c r="B4" s="2285"/>
      <c r="C4" s="2401"/>
      <c r="D4" s="2235"/>
      <c r="E4" s="2235"/>
      <c r="F4" s="1888"/>
      <c r="G4" s="1888"/>
      <c r="H4" s="1888"/>
      <c r="I4" s="1888"/>
      <c r="J4" s="1888"/>
      <c r="K4" s="1888"/>
      <c r="L4" s="1888"/>
      <c r="M4" s="2307"/>
      <c r="N4" s="2307"/>
      <c r="O4" s="2307"/>
      <c r="P4" s="2307"/>
      <c r="Q4" s="2307"/>
      <c r="R4" s="2307"/>
      <c r="S4" s="1888"/>
      <c r="T4" s="1888"/>
    </row>
    <row r="5" spans="1:45" ht="18" customHeight="1" x14ac:dyDescent="0.25">
      <c r="A5" s="1888"/>
      <c r="B5" s="2230" t="s">
        <v>1238</v>
      </c>
      <c r="C5" s="2231">
        <f>+'CO2 - Cálculos'!AI13</f>
        <v>14727.458000000001</v>
      </c>
      <c r="D5" s="2232"/>
      <c r="E5" s="2232"/>
      <c r="F5" s="1888"/>
      <c r="G5" s="1888"/>
      <c r="H5" s="1888"/>
      <c r="I5" s="1888"/>
      <c r="J5" s="1888"/>
      <c r="K5" s="1888"/>
      <c r="L5" s="1888"/>
      <c r="M5" s="2307"/>
      <c r="N5" s="2307"/>
      <c r="O5" s="2971" t="s">
        <v>1263</v>
      </c>
      <c r="P5" s="2972"/>
      <c r="Q5" s="2307"/>
      <c r="R5" s="2307"/>
      <c r="S5" s="1888"/>
      <c r="T5" s="1888"/>
    </row>
    <row r="6" spans="1:45" ht="18" customHeight="1" x14ac:dyDescent="0.25">
      <c r="A6" s="1888"/>
      <c r="B6" s="2402"/>
      <c r="C6" s="2238"/>
      <c r="D6" s="2232"/>
      <c r="E6" s="2232"/>
      <c r="F6" s="1888"/>
      <c r="G6" s="1888"/>
      <c r="H6" s="1888"/>
      <c r="I6" s="1888"/>
      <c r="J6" s="1888"/>
      <c r="K6" s="1888"/>
      <c r="L6" s="1888"/>
      <c r="M6" s="2307"/>
      <c r="N6" s="2307"/>
      <c r="O6" s="2973">
        <f>+C3</f>
        <v>146000</v>
      </c>
      <c r="P6" s="2974"/>
      <c r="Q6" s="2307"/>
      <c r="R6" s="2307"/>
      <c r="S6" s="1888"/>
      <c r="T6" s="1888"/>
    </row>
    <row r="7" spans="1:45" ht="18" customHeight="1" x14ac:dyDescent="0.25">
      <c r="A7" s="1888"/>
      <c r="B7" s="2239" t="s">
        <v>1107</v>
      </c>
      <c r="C7" s="2240">
        <f>+'CO2 - Cálculos'!AI5</f>
        <v>0</v>
      </c>
      <c r="D7" s="2232"/>
      <c r="E7" s="2232"/>
      <c r="F7" s="1888"/>
      <c r="G7" s="1888"/>
      <c r="H7" s="1888"/>
      <c r="I7" s="1888"/>
      <c r="J7" s="1888"/>
      <c r="K7" s="1888"/>
      <c r="L7" s="1888"/>
      <c r="M7" s="2403"/>
      <c r="N7" s="2307"/>
      <c r="O7" s="2307"/>
      <c r="P7" s="2307"/>
      <c r="Q7" s="2307"/>
      <c r="R7" s="2307"/>
      <c r="S7" s="1888"/>
      <c r="T7" s="1888"/>
    </row>
    <row r="8" spans="1:45" ht="18" customHeight="1" x14ac:dyDescent="0.25">
      <c r="A8" s="1888"/>
      <c r="B8" s="2239" t="s">
        <v>1108</v>
      </c>
      <c r="C8" s="2240">
        <f>+'CO2 - Cálculos'!AI6</f>
        <v>0</v>
      </c>
      <c r="D8" s="2232"/>
      <c r="E8" s="2232"/>
      <c r="F8" s="1888"/>
      <c r="G8" s="1888"/>
      <c r="H8" s="1888"/>
      <c r="I8" s="1888"/>
      <c r="J8" s="1888"/>
      <c r="K8" s="1888"/>
      <c r="L8" s="1888"/>
      <c r="M8" s="2307"/>
      <c r="N8" s="2307"/>
      <c r="O8" s="2307"/>
      <c r="P8" s="2307"/>
      <c r="Q8" s="2307"/>
      <c r="R8" s="2307"/>
      <c r="S8" s="1888"/>
      <c r="T8" s="1888"/>
    </row>
    <row r="9" spans="1:45" ht="18" customHeight="1" x14ac:dyDescent="0.25">
      <c r="A9" s="1888"/>
      <c r="B9" s="2239" t="s">
        <v>1109</v>
      </c>
      <c r="C9" s="2240">
        <f>+'CO2 - Cálculos'!AI7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955"/>
      <c r="T9" s="1888"/>
    </row>
    <row r="10" spans="1:45" ht="18" customHeight="1" x14ac:dyDescent="0.25">
      <c r="A10" s="1888"/>
      <c r="B10" s="2239" t="s">
        <v>1110</v>
      </c>
      <c r="C10" s="2240">
        <f>+'CO2 - Cálculos'!AI8</f>
        <v>4336.2</v>
      </c>
      <c r="D10" s="2232"/>
      <c r="E10" s="2232"/>
      <c r="F10" s="1888"/>
      <c r="G10" s="1888"/>
      <c r="H10" s="1888"/>
      <c r="I10" s="1888"/>
      <c r="J10" s="1888"/>
      <c r="K10" s="1888"/>
      <c r="L10" s="2311"/>
      <c r="M10" s="2317"/>
      <c r="N10" s="2318"/>
      <c r="O10" s="2311"/>
      <c r="P10" s="2311"/>
      <c r="Q10" s="2318"/>
      <c r="R10" s="2317"/>
      <c r="S10" s="1955"/>
      <c r="T10" s="1888"/>
    </row>
    <row r="11" spans="1:45" ht="18" customHeight="1" x14ac:dyDescent="0.25">
      <c r="A11" s="1888"/>
      <c r="B11" s="2239" t="s">
        <v>50</v>
      </c>
      <c r="C11" s="2240">
        <f>+'CO2 - Cálculos'!AI9</f>
        <v>0</v>
      </c>
      <c r="D11" s="2232"/>
      <c r="E11" s="2232"/>
      <c r="F11" s="1888"/>
      <c r="G11" s="1888"/>
      <c r="H11" s="1888"/>
      <c r="I11" s="1888"/>
      <c r="J11" s="1888"/>
      <c r="K11" s="1888"/>
      <c r="L11" s="2311"/>
      <c r="M11" s="1864" t="str">
        <f t="shared" ref="M11:N18" si="0">+B7</f>
        <v>Resíduos de alimentos</v>
      </c>
      <c r="N11" s="2404">
        <f t="shared" si="0"/>
        <v>0</v>
      </c>
      <c r="O11" s="2320">
        <f t="shared" ref="O11:O18" si="1">+N11/$N$9</f>
        <v>0</v>
      </c>
      <c r="P11" s="2321">
        <f t="shared" ref="P11:P19" si="2">+Q11/$Q$9</f>
        <v>0</v>
      </c>
      <c r="Q11" s="2322">
        <f t="shared" ref="Q11:Q19" si="3">+C18</f>
        <v>0</v>
      </c>
      <c r="R11" s="2316" t="str">
        <f t="shared" ref="R11:R19" si="4">+B18</f>
        <v>Resíduos dispersos</v>
      </c>
      <c r="S11" s="1955"/>
      <c r="T11" s="1888"/>
    </row>
    <row r="12" spans="1:45" ht="18" customHeight="1" x14ac:dyDescent="0.25">
      <c r="A12" s="1888"/>
      <c r="B12" s="2239" t="s">
        <v>1111</v>
      </c>
      <c r="C12" s="2240">
        <f>+'CO2 - Cálculos'!AI10</f>
        <v>3190.1</v>
      </c>
      <c r="D12" s="2232"/>
      <c r="E12" s="2232"/>
      <c r="F12" s="1888"/>
      <c r="G12" s="1888"/>
      <c r="H12" s="1888"/>
      <c r="I12" s="1888"/>
      <c r="J12" s="1888"/>
      <c r="K12" s="1888"/>
      <c r="L12" s="2311"/>
      <c r="M12" s="1864" t="str">
        <f t="shared" si="0"/>
        <v>Resíduos de jardins e parques</v>
      </c>
      <c r="N12" s="2404">
        <f t="shared" si="0"/>
        <v>0</v>
      </c>
      <c r="O12" s="2320">
        <f t="shared" si="1"/>
        <v>0</v>
      </c>
      <c r="P12" s="2321">
        <f t="shared" si="2"/>
        <v>0</v>
      </c>
      <c r="Q12" s="2322">
        <f t="shared" si="3"/>
        <v>0</v>
      </c>
      <c r="R12" s="2316" t="str">
        <f t="shared" si="4"/>
        <v>Queima a céu aberto</v>
      </c>
      <c r="S12" s="1955"/>
      <c r="T12" s="1888"/>
    </row>
    <row r="13" spans="1:45" ht="18" customHeight="1" x14ac:dyDescent="0.25">
      <c r="A13" s="1888"/>
      <c r="B13" s="2239" t="s">
        <v>1112</v>
      </c>
      <c r="C13" s="2240">
        <f>+'CO2 - Cálculos'!AI11</f>
        <v>832.19999999999993</v>
      </c>
      <c r="D13" s="2232"/>
      <c r="E13" s="2232"/>
      <c r="F13" s="1888"/>
      <c r="G13" s="1888"/>
      <c r="H13" s="1888"/>
      <c r="I13" s="1888"/>
      <c r="J13" s="1888"/>
      <c r="K13" s="1888"/>
      <c r="L13" s="2311"/>
      <c r="M13" s="1864" t="str">
        <f t="shared" si="0"/>
        <v>Papel, papelão</v>
      </c>
      <c r="N13" s="2404">
        <f t="shared" si="0"/>
        <v>6368.9580000000005</v>
      </c>
      <c r="O13" s="2320">
        <f t="shared" si="1"/>
        <v>0.4324546707245745</v>
      </c>
      <c r="P13" s="2321">
        <f t="shared" si="2"/>
        <v>0</v>
      </c>
      <c r="Q13" s="2322">
        <f t="shared" si="3"/>
        <v>0</v>
      </c>
      <c r="R13" s="2316" t="str">
        <f t="shared" si="4"/>
        <v>Lixão não controlado</v>
      </c>
      <c r="S13" s="1955"/>
      <c r="T13" s="1888"/>
    </row>
    <row r="14" spans="1:45" ht="18" customHeight="1" x14ac:dyDescent="0.25">
      <c r="A14" s="1888"/>
      <c r="B14" s="2239" t="s">
        <v>1113</v>
      </c>
      <c r="C14" s="2240">
        <f>+'CO2 - Cálculos'!AI12</f>
        <v>0</v>
      </c>
      <c r="D14" s="2232"/>
      <c r="E14" s="2232"/>
      <c r="F14" s="1888"/>
      <c r="G14" s="1888"/>
      <c r="H14" s="1888"/>
      <c r="I14" s="1888"/>
      <c r="J14" s="1888"/>
      <c r="K14" s="1888"/>
      <c r="L14" s="2311"/>
      <c r="M14" s="1864" t="str">
        <f t="shared" si="0"/>
        <v>Plásticos</v>
      </c>
      <c r="N14" s="2404">
        <f t="shared" si="0"/>
        <v>4336.2</v>
      </c>
      <c r="O14" s="2320">
        <f t="shared" si="1"/>
        <v>0.29442962933589761</v>
      </c>
      <c r="P14" s="2321">
        <f t="shared" si="2"/>
        <v>0.3</v>
      </c>
      <c r="Q14" s="2322">
        <f t="shared" si="3"/>
        <v>39381.762599999995</v>
      </c>
      <c r="R14" s="2316" t="str">
        <f t="shared" si="4"/>
        <v>Aterro controlado</v>
      </c>
      <c r="S14" s="1955"/>
      <c r="T14" s="1888"/>
    </row>
    <row r="15" spans="1:45" ht="18" customHeight="1" x14ac:dyDescent="0.25">
      <c r="A15" s="1888"/>
      <c r="B15" s="2285"/>
      <c r="C15" s="2401"/>
      <c r="D15" s="2232"/>
      <c r="E15" s="2232"/>
      <c r="F15" s="1888"/>
      <c r="G15" s="1888"/>
      <c r="H15" s="1888"/>
      <c r="I15" s="1888"/>
      <c r="J15" s="1888"/>
      <c r="K15" s="1888"/>
      <c r="L15" s="2311"/>
      <c r="M15" s="1864" t="str">
        <f t="shared" si="0"/>
        <v>Vidros</v>
      </c>
      <c r="N15" s="2404">
        <f t="shared" si="0"/>
        <v>0</v>
      </c>
      <c r="O15" s="2320">
        <f t="shared" si="1"/>
        <v>0</v>
      </c>
      <c r="P15" s="2321">
        <f t="shared" si="2"/>
        <v>0</v>
      </c>
      <c r="Q15" s="2322">
        <f t="shared" si="3"/>
        <v>0</v>
      </c>
      <c r="R15" s="2316" t="str">
        <f t="shared" si="4"/>
        <v>Aterro sanitário</v>
      </c>
      <c r="S15" s="1955"/>
      <c r="T15" s="1888"/>
    </row>
    <row r="16" spans="1:45" ht="18" customHeight="1" x14ac:dyDescent="0.25">
      <c r="A16" s="1888"/>
      <c r="B16" s="2258" t="s">
        <v>1264</v>
      </c>
      <c r="C16" s="2231">
        <f>+'CO2 - Cálculos'!AI57</f>
        <v>131272.54199999999</v>
      </c>
      <c r="D16" s="2232"/>
      <c r="E16" s="2232"/>
      <c r="F16" s="1888"/>
      <c r="G16" s="1888"/>
      <c r="H16" s="1888"/>
      <c r="I16" s="1888"/>
      <c r="J16" s="1888"/>
      <c r="K16" s="1888"/>
      <c r="L16" s="2311"/>
      <c r="M16" s="1864" t="str">
        <f t="shared" si="0"/>
        <v>Metais ferrosos</v>
      </c>
      <c r="N16" s="2404">
        <f t="shared" si="0"/>
        <v>3190.1</v>
      </c>
      <c r="O16" s="2320">
        <f t="shared" si="1"/>
        <v>0.21660900340031525</v>
      </c>
      <c r="P16" s="2321">
        <f t="shared" si="2"/>
        <v>0</v>
      </c>
      <c r="Q16" s="2322">
        <f t="shared" si="3"/>
        <v>0</v>
      </c>
      <c r="R16" s="2316" t="str">
        <f t="shared" si="4"/>
        <v>Trat. biol + cobertura at.</v>
      </c>
      <c r="S16" s="1955"/>
      <c r="T16" s="1888"/>
    </row>
    <row r="17" spans="1:47" ht="18" customHeight="1" x14ac:dyDescent="0.25">
      <c r="A17" s="1888"/>
      <c r="B17" s="2402"/>
      <c r="C17" s="2238"/>
      <c r="D17" s="2232"/>
      <c r="E17" s="2232"/>
      <c r="F17" s="1888"/>
      <c r="G17" s="1888"/>
      <c r="H17" s="1888"/>
      <c r="I17" s="1888"/>
      <c r="J17" s="1888"/>
      <c r="K17" s="1888"/>
      <c r="L17" s="2311"/>
      <c r="M17" s="1864" t="str">
        <f t="shared" si="0"/>
        <v>Alumínio</v>
      </c>
      <c r="N17" s="2404">
        <f t="shared" si="0"/>
        <v>832.19999999999993</v>
      </c>
      <c r="O17" s="2320">
        <f t="shared" si="1"/>
        <v>5.650669653921267E-2</v>
      </c>
      <c r="P17" s="2321">
        <f t="shared" si="2"/>
        <v>0</v>
      </c>
      <c r="Q17" s="2322">
        <f t="shared" si="3"/>
        <v>0</v>
      </c>
      <c r="R17" s="2316" t="str">
        <f t="shared" si="4"/>
        <v>CDR seco + rejeito aterro</v>
      </c>
      <c r="S17" s="1955"/>
      <c r="T17" s="1888"/>
    </row>
    <row r="18" spans="1:47" ht="18" customHeight="1" x14ac:dyDescent="0.25">
      <c r="A18" s="1888"/>
      <c r="B18" s="2239" t="s">
        <v>1242</v>
      </c>
      <c r="C18" s="2240">
        <f>+'CO2 - Cálculos'!AI47</f>
        <v>0</v>
      </c>
      <c r="D18" s="2232"/>
      <c r="E18" s="2232"/>
      <c r="F18" s="1888"/>
      <c r="G18" s="1888"/>
      <c r="H18" s="1888"/>
      <c r="I18" s="1888"/>
      <c r="J18" s="1888"/>
      <c r="K18" s="1888"/>
      <c r="L18" s="2311"/>
      <c r="M18" s="1864" t="str">
        <f t="shared" si="0"/>
        <v>Têxteis</v>
      </c>
      <c r="N18" s="2404">
        <f t="shared" si="0"/>
        <v>0</v>
      </c>
      <c r="O18" s="2320">
        <f t="shared" si="1"/>
        <v>0</v>
      </c>
      <c r="P18" s="2321">
        <f t="shared" si="2"/>
        <v>0</v>
      </c>
      <c r="Q18" s="2322">
        <f t="shared" si="3"/>
        <v>0</v>
      </c>
      <c r="R18" s="2316" t="str">
        <f t="shared" si="4"/>
        <v>CDR seco + trat. biol.</v>
      </c>
      <c r="S18" s="1955"/>
      <c r="T18" s="1888"/>
    </row>
    <row r="19" spans="1:47" ht="18" customHeight="1" x14ac:dyDescent="0.25">
      <c r="A19" s="1888"/>
      <c r="B19" s="2239" t="s">
        <v>1243</v>
      </c>
      <c r="C19" s="2240">
        <f>+'CO2 - Cálculos'!AI48</f>
        <v>0</v>
      </c>
      <c r="D19" s="2232"/>
      <c r="E19" s="2232"/>
      <c r="F19" s="1888"/>
      <c r="G19" s="1888"/>
      <c r="H19" s="1888"/>
      <c r="I19" s="1888"/>
      <c r="J19" s="1888"/>
      <c r="K19" s="1888"/>
      <c r="L19" s="2311"/>
      <c r="M19" s="2311"/>
      <c r="N19" s="2371"/>
      <c r="O19" s="2323"/>
      <c r="P19" s="2321">
        <f t="shared" si="2"/>
        <v>0.7</v>
      </c>
      <c r="Q19" s="2322">
        <f t="shared" si="3"/>
        <v>91890.779399999985</v>
      </c>
      <c r="R19" s="2316" t="str">
        <f t="shared" si="4"/>
        <v>CDR seco + CDR org.</v>
      </c>
      <c r="S19" s="1955"/>
      <c r="T19" s="1888"/>
    </row>
    <row r="20" spans="1:47" ht="18" customHeight="1" x14ac:dyDescent="0.25">
      <c r="A20" s="1888"/>
      <c r="B20" s="2239" t="s">
        <v>1244</v>
      </c>
      <c r="C20" s="2240">
        <f>+'CO2 - Cálculos'!AI49</f>
        <v>0</v>
      </c>
      <c r="D20" s="2232"/>
      <c r="E20" s="2232"/>
      <c r="F20" s="1888"/>
      <c r="G20" s="1888"/>
      <c r="H20" s="1888"/>
      <c r="I20" s="1888"/>
      <c r="J20" s="1888"/>
      <c r="K20" s="1888"/>
      <c r="L20" s="2311"/>
      <c r="M20" s="2311"/>
      <c r="N20" s="2311"/>
      <c r="O20" s="2311"/>
      <c r="P20" s="2321">
        <f>+Q20/$Q$9</f>
        <v>0</v>
      </c>
      <c r="Q20" s="2322">
        <f>+C27</f>
        <v>0</v>
      </c>
      <c r="R20" s="2316" t="str">
        <f>+B27</f>
        <v>Incineração</v>
      </c>
      <c r="S20" s="1955"/>
      <c r="T20" s="1888"/>
    </row>
    <row r="21" spans="1:47" ht="18" customHeight="1" x14ac:dyDescent="0.25">
      <c r="A21" s="1888"/>
      <c r="B21" s="2239" t="s">
        <v>1245</v>
      </c>
      <c r="C21" s="2240">
        <f>+'CO2 - Cálculos'!AI50</f>
        <v>39381.762599999995</v>
      </c>
      <c r="D21" s="2232"/>
      <c r="E21" s="2232"/>
      <c r="F21" s="1888"/>
      <c r="G21" s="1888"/>
      <c r="H21" s="1888"/>
      <c r="I21" s="1888"/>
      <c r="J21" s="1888"/>
      <c r="K21" s="1888"/>
      <c r="L21" s="1888"/>
      <c r="M21" s="1888"/>
      <c r="N21" s="1888"/>
      <c r="O21" s="1888"/>
      <c r="P21" s="1888"/>
      <c r="Q21" s="2014"/>
      <c r="R21" s="1888"/>
      <c r="S21" s="1888"/>
      <c r="T21" s="1888"/>
    </row>
    <row r="22" spans="1:47" ht="18" customHeight="1" x14ac:dyDescent="0.25">
      <c r="A22" s="1888"/>
      <c r="B22" s="2261" t="s">
        <v>64</v>
      </c>
      <c r="C22" s="2240">
        <f>+'CO2 - Cálculos'!AI51</f>
        <v>0</v>
      </c>
      <c r="D22" s="2232"/>
      <c r="E22" s="2232"/>
      <c r="F22" s="1888"/>
      <c r="G22" s="1888"/>
      <c r="H22" s="1888"/>
      <c r="I22" s="1888"/>
      <c r="J22" s="1888"/>
      <c r="K22" s="1888"/>
      <c r="L22" s="1888"/>
      <c r="M22" s="1888"/>
      <c r="N22" s="1888"/>
      <c r="O22" s="1888"/>
      <c r="P22" s="1888"/>
      <c r="Q22" s="2014"/>
      <c r="R22" s="1888"/>
      <c r="S22" s="1888"/>
      <c r="T22" s="1888"/>
    </row>
    <row r="23" spans="1:47" ht="18" customHeight="1" x14ac:dyDescent="0.25">
      <c r="A23" s="1888"/>
      <c r="B23" s="2262" t="s">
        <v>1246</v>
      </c>
      <c r="C23" s="2263">
        <f>+'CO2 - Cálculos'!AI52</f>
        <v>0</v>
      </c>
      <c r="D23" s="2232"/>
      <c r="E23" s="2232"/>
      <c r="F23" s="1888"/>
      <c r="G23" s="1888"/>
      <c r="H23" s="1888"/>
      <c r="I23" s="1888"/>
      <c r="J23" s="1888"/>
      <c r="K23" s="1888"/>
      <c r="L23" s="1888"/>
      <c r="M23" s="1888"/>
      <c r="N23" s="1888"/>
      <c r="O23" s="1888"/>
      <c r="P23" s="1888"/>
      <c r="Q23" s="1888"/>
      <c r="R23" s="1888"/>
      <c r="S23" s="1888"/>
      <c r="T23" s="1888"/>
    </row>
    <row r="24" spans="1:47" ht="18" customHeight="1" x14ac:dyDescent="0.25">
      <c r="A24" s="1888"/>
      <c r="B24" s="2262" t="s">
        <v>1247</v>
      </c>
      <c r="C24" s="2240">
        <f>+'CO2 - Cálculos'!AI53</f>
        <v>0</v>
      </c>
      <c r="D24" s="2232"/>
      <c r="E24" s="2232"/>
      <c r="F24" s="1888"/>
      <c r="G24" s="1888"/>
      <c r="H24" s="1888"/>
      <c r="I24" s="1888"/>
      <c r="J24" s="1888"/>
      <c r="K24" s="1888"/>
      <c r="L24" s="1888"/>
      <c r="M24" s="1888"/>
      <c r="N24" s="1888"/>
      <c r="O24" s="1888"/>
      <c r="P24" s="1888"/>
      <c r="Q24" s="1888"/>
      <c r="R24" s="1888"/>
      <c r="S24" s="1888"/>
      <c r="T24" s="1888"/>
    </row>
    <row r="25" spans="1:47" ht="18" customHeight="1" x14ac:dyDescent="0.25">
      <c r="A25" s="1888"/>
      <c r="B25" s="2262" t="s">
        <v>1248</v>
      </c>
      <c r="C25" s="2240">
        <f>+'CO2 - Cálculos'!AI54</f>
        <v>0</v>
      </c>
      <c r="D25" s="2232"/>
      <c r="E25" s="2232"/>
      <c r="F25" s="1888"/>
      <c r="G25" s="1888"/>
      <c r="H25" s="1888"/>
      <c r="I25" s="1888"/>
      <c r="J25" s="1888"/>
      <c r="K25" s="1888"/>
      <c r="L25" s="1888"/>
      <c r="M25" s="1888"/>
      <c r="N25" s="1888"/>
      <c r="O25" s="1888"/>
      <c r="P25" s="1888"/>
      <c r="Q25" s="1888"/>
      <c r="R25" s="1888"/>
      <c r="S25" s="1888"/>
      <c r="T25" s="1888"/>
    </row>
    <row r="26" spans="1:47" ht="18" customHeight="1" x14ac:dyDescent="0.25">
      <c r="A26" s="1888"/>
      <c r="B26" s="2262" t="s">
        <v>1249</v>
      </c>
      <c r="C26" s="2240">
        <f>+'CO2 - Cálculos'!AI55</f>
        <v>91890.779399999985</v>
      </c>
      <c r="D26" s="2232"/>
      <c r="E26" s="2232"/>
      <c r="F26" s="1888"/>
      <c r="G26" s="1888"/>
      <c r="H26" s="1888"/>
      <c r="I26" s="1888"/>
      <c r="J26" s="1888"/>
      <c r="K26" s="1888"/>
      <c r="L26" s="1888"/>
      <c r="M26" s="1888"/>
      <c r="N26" s="1888"/>
      <c r="O26" s="1888"/>
      <c r="P26" s="1888"/>
      <c r="Q26" s="1888"/>
      <c r="R26" s="1888"/>
      <c r="S26" s="1888"/>
      <c r="T26" s="1888"/>
    </row>
    <row r="27" spans="1:47" ht="18" customHeight="1" x14ac:dyDescent="0.25">
      <c r="A27" s="1888"/>
      <c r="B27" s="2239" t="s">
        <v>63</v>
      </c>
      <c r="C27" s="2240">
        <f>+'CO2 - Cálculos'!AI56</f>
        <v>0</v>
      </c>
      <c r="D27" s="2232"/>
      <c r="E27" s="2232"/>
      <c r="F27" s="1888"/>
      <c r="G27" s="1888"/>
      <c r="H27" s="1888"/>
      <c r="I27" s="1888"/>
      <c r="J27" s="1888"/>
      <c r="K27" s="1888"/>
      <c r="L27" s="1888"/>
      <c r="M27" s="1888"/>
      <c r="N27" s="1888"/>
      <c r="O27" s="1888"/>
      <c r="P27" s="1888"/>
      <c r="Q27" s="1888"/>
      <c r="R27" s="1888"/>
      <c r="S27" s="1888"/>
      <c r="T27" s="1888"/>
    </row>
    <row r="28" spans="1:47"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47" s="2227" customFormat="1" ht="26.1" customHeight="1" x14ac:dyDescent="0.2">
      <c r="A29" s="2061" t="s">
        <v>1265</v>
      </c>
      <c r="B29" s="2405"/>
      <c r="C29" s="2406"/>
      <c r="D29" s="2406"/>
      <c r="E29" s="2406"/>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row>
    <row r="30" spans="1:47"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47" ht="18" customHeight="1" x14ac:dyDescent="0.25">
      <c r="A31" s="1888"/>
      <c r="B31" s="2149"/>
      <c r="C31" s="2330" t="s">
        <v>1251</v>
      </c>
      <c r="D31" s="2077" t="s">
        <v>1252</v>
      </c>
      <c r="E31" s="2077" t="s">
        <v>1253</v>
      </c>
      <c r="F31" s="1888"/>
      <c r="G31" s="1888"/>
      <c r="H31" s="2269"/>
      <c r="I31" s="1888"/>
      <c r="J31" s="1888"/>
      <c r="K31" s="1888"/>
      <c r="L31" s="1888"/>
      <c r="M31" s="1888"/>
      <c r="N31" s="1888"/>
      <c r="O31" s="1888"/>
      <c r="P31" s="1888"/>
      <c r="Q31" s="1888"/>
      <c r="R31" s="1888"/>
      <c r="S31" s="1888"/>
      <c r="T31" s="1888"/>
    </row>
    <row r="32" spans="1:47" ht="18" customHeight="1" x14ac:dyDescent="0.2">
      <c r="A32" s="1888"/>
      <c r="B32" s="2304" t="s">
        <v>1238</v>
      </c>
      <c r="C32" s="2309"/>
      <c r="D32" s="2377"/>
      <c r="E32" s="2377"/>
      <c r="F32" s="1888"/>
      <c r="G32" s="1888"/>
      <c r="H32" s="1888"/>
      <c r="I32" s="1888"/>
      <c r="J32" s="1888"/>
      <c r="K32" s="1888"/>
      <c r="L32" s="1888"/>
      <c r="M32" s="1888"/>
      <c r="N32" s="1888"/>
      <c r="O32" s="1888"/>
      <c r="P32" s="1888"/>
      <c r="Q32" s="1888"/>
      <c r="R32" s="1888"/>
      <c r="S32" s="1888"/>
      <c r="T32" s="1888"/>
    </row>
    <row r="33" spans="1:20" ht="18" customHeight="1" x14ac:dyDescent="0.2">
      <c r="A33" s="1888"/>
      <c r="B33" s="2378"/>
      <c r="C33" s="2377"/>
      <c r="D33" s="2377"/>
      <c r="E33" s="2377"/>
      <c r="F33" s="1888"/>
      <c r="G33" s="1888"/>
      <c r="H33" s="1888"/>
      <c r="I33" s="1888"/>
      <c r="J33" s="1888"/>
      <c r="K33" s="1888"/>
      <c r="L33" s="1888"/>
      <c r="M33" s="1888"/>
      <c r="N33" s="1888"/>
      <c r="O33" s="1888"/>
      <c r="P33" s="1888"/>
      <c r="Q33" s="1888"/>
      <c r="R33" s="1888"/>
      <c r="S33" s="1888"/>
      <c r="T33" s="1888"/>
    </row>
    <row r="34" spans="1:20" ht="18" customHeight="1" x14ac:dyDescent="0.2">
      <c r="A34" s="1888"/>
      <c r="B34" s="2224" t="str">
        <f>B7</f>
        <v>Resíduos de alimentos</v>
      </c>
      <c r="C34" s="2310">
        <f t="shared" ref="C34:C41" si="5">+C62</f>
        <v>0</v>
      </c>
      <c r="D34" s="2310">
        <f t="shared" ref="D34:D41" si="6">+C71</f>
        <v>0</v>
      </c>
      <c r="E34" s="2310">
        <f t="shared" ref="E34:E41" si="7">+D34+C34</f>
        <v>0</v>
      </c>
      <c r="F34" s="1888"/>
      <c r="G34" s="1888"/>
      <c r="H34" s="1888"/>
      <c r="I34" s="1888"/>
      <c r="J34" s="1888"/>
      <c r="K34" s="1888"/>
      <c r="L34" s="1888"/>
      <c r="M34" s="1888"/>
      <c r="N34" s="1888"/>
      <c r="O34" s="1888"/>
      <c r="P34" s="1888"/>
      <c r="Q34" s="1888"/>
      <c r="R34" s="1888"/>
      <c r="S34" s="1888"/>
      <c r="T34" s="1888"/>
    </row>
    <row r="35" spans="1:20" ht="18" customHeight="1" x14ac:dyDescent="0.2">
      <c r="A35" s="1888"/>
      <c r="B35" s="2224" t="str">
        <f t="shared" ref="B35:B41" si="8">B8</f>
        <v>Resíduos de jardins e parques</v>
      </c>
      <c r="C35" s="2310">
        <f t="shared" si="5"/>
        <v>0</v>
      </c>
      <c r="D35" s="2310">
        <f t="shared" si="6"/>
        <v>0</v>
      </c>
      <c r="E35" s="2310">
        <f t="shared" si="7"/>
        <v>0</v>
      </c>
      <c r="F35" s="1888"/>
      <c r="G35" s="1888"/>
      <c r="H35" s="1888"/>
      <c r="I35" s="1888"/>
      <c r="J35" s="1888"/>
      <c r="K35" s="1888"/>
      <c r="L35" s="1888"/>
      <c r="M35" s="1888"/>
      <c r="N35" s="1888"/>
      <c r="O35" s="1888"/>
      <c r="P35" s="1888"/>
      <c r="Q35" s="1888"/>
      <c r="R35" s="1888"/>
      <c r="S35" s="1888"/>
      <c r="T35" s="1888"/>
    </row>
    <row r="36" spans="1:20" ht="18" customHeight="1" x14ac:dyDescent="0.2">
      <c r="A36" s="1888"/>
      <c r="B36" s="2224" t="str">
        <f t="shared" si="8"/>
        <v>Papel, papelão</v>
      </c>
      <c r="C36" s="2310">
        <f t="shared" si="5"/>
        <v>7999.4112480000003</v>
      </c>
      <c r="D36" s="2310">
        <f t="shared" si="6"/>
        <v>-9859.1469840000009</v>
      </c>
      <c r="E36" s="2310">
        <f t="shared" si="7"/>
        <v>-1859.7357360000005</v>
      </c>
      <c r="F36" s="1888"/>
      <c r="G36" s="1888"/>
      <c r="H36" s="1888"/>
      <c r="I36" s="1888"/>
      <c r="J36" s="1888"/>
      <c r="K36" s="1888"/>
      <c r="L36" s="1888"/>
      <c r="M36" s="1888"/>
      <c r="N36" s="1888"/>
      <c r="O36" s="1888"/>
      <c r="P36" s="1888"/>
      <c r="Q36" s="1888"/>
      <c r="R36" s="1888"/>
      <c r="S36" s="1888"/>
      <c r="T36" s="1888"/>
    </row>
    <row r="37" spans="1:20" ht="18" customHeight="1" x14ac:dyDescent="0.2">
      <c r="A37" s="1888"/>
      <c r="B37" s="2224" t="str">
        <f t="shared" si="8"/>
        <v>Plásticos</v>
      </c>
      <c r="C37" s="2310">
        <f t="shared" si="5"/>
        <v>1777.8420000000001</v>
      </c>
      <c r="D37" s="2310">
        <f t="shared" si="6"/>
        <v>-8281.2747600000002</v>
      </c>
      <c r="E37" s="2310">
        <f t="shared" si="7"/>
        <v>-6503.4327599999997</v>
      </c>
      <c r="F37" s="1888"/>
      <c r="G37" s="1888"/>
      <c r="H37" s="1888"/>
      <c r="I37" s="1888"/>
      <c r="J37" s="1888"/>
      <c r="K37" s="1888"/>
      <c r="L37" s="1888"/>
      <c r="M37" s="1888"/>
      <c r="N37" s="1888"/>
      <c r="O37" s="1888"/>
      <c r="P37" s="1888"/>
      <c r="Q37" s="1888"/>
      <c r="R37" s="1888"/>
      <c r="S37" s="1888"/>
      <c r="T37" s="1888"/>
    </row>
    <row r="38" spans="1:20" ht="18" customHeight="1" x14ac:dyDescent="0.2">
      <c r="A38" s="1888"/>
      <c r="B38" s="2224" t="str">
        <f t="shared" si="8"/>
        <v>Vidros</v>
      </c>
      <c r="C38" s="2310">
        <f t="shared" si="5"/>
        <v>0</v>
      </c>
      <c r="D38" s="2310">
        <f t="shared" si="6"/>
        <v>0</v>
      </c>
      <c r="E38" s="2310">
        <f t="shared" si="7"/>
        <v>0</v>
      </c>
      <c r="F38" s="1888"/>
      <c r="G38" s="1888"/>
      <c r="H38" s="1888"/>
      <c r="I38" s="1888"/>
      <c r="J38" s="1888"/>
      <c r="K38" s="1888"/>
      <c r="L38" s="1888"/>
      <c r="M38" s="1888"/>
      <c r="N38" s="1888"/>
      <c r="O38" s="1888"/>
      <c r="P38" s="1888"/>
      <c r="Q38" s="1888"/>
      <c r="R38" s="1888"/>
      <c r="S38" s="1888"/>
      <c r="T38" s="1888"/>
    </row>
    <row r="39" spans="1:20" ht="18" customHeight="1" x14ac:dyDescent="0.2">
      <c r="A39" s="1888"/>
      <c r="B39" s="2224" t="str">
        <f t="shared" si="8"/>
        <v>Metais ferrosos</v>
      </c>
      <c r="C39" s="2310">
        <f t="shared" si="5"/>
        <v>204.16639999999998</v>
      </c>
      <c r="D39" s="2310">
        <f t="shared" si="6"/>
        <v>-5461.4512000000004</v>
      </c>
      <c r="E39" s="2310">
        <f t="shared" si="7"/>
        <v>-5257.2848000000004</v>
      </c>
      <c r="F39" s="1888"/>
      <c r="G39" s="1888"/>
      <c r="H39" s="1888"/>
      <c r="I39" s="1888"/>
      <c r="J39" s="1888"/>
      <c r="K39" s="1888"/>
      <c r="L39" s="1888"/>
      <c r="M39" s="1888"/>
      <c r="N39" s="1888"/>
      <c r="O39" s="1888"/>
      <c r="P39" s="1888"/>
      <c r="Q39" s="1888"/>
      <c r="R39" s="1888"/>
      <c r="S39" s="1888"/>
      <c r="T39" s="1888"/>
    </row>
    <row r="40" spans="1:20" ht="18" customHeight="1" x14ac:dyDescent="0.2">
      <c r="A40" s="1888"/>
      <c r="B40" s="2224" t="str">
        <f t="shared" si="8"/>
        <v>Alumínio</v>
      </c>
      <c r="C40" s="2310">
        <f t="shared" si="5"/>
        <v>580.04339999999991</v>
      </c>
      <c r="D40" s="2310">
        <f t="shared" si="6"/>
        <v>-8222.1359999999986</v>
      </c>
      <c r="E40" s="2310">
        <f t="shared" si="7"/>
        <v>-7642.092599999999</v>
      </c>
      <c r="F40" s="1888"/>
      <c r="G40" s="1888"/>
      <c r="H40" s="1888"/>
      <c r="I40" s="1888"/>
      <c r="J40" s="1888"/>
      <c r="K40" s="1888"/>
      <c r="L40" s="1888"/>
      <c r="M40" s="1888"/>
      <c r="N40" s="1888"/>
      <c r="O40" s="1888"/>
      <c r="P40" s="1888"/>
      <c r="Q40" s="1888"/>
      <c r="R40" s="1888"/>
      <c r="S40" s="1888"/>
      <c r="T40" s="1888"/>
    </row>
    <row r="41" spans="1:20" ht="18" customHeight="1" x14ac:dyDescent="0.2">
      <c r="A41" s="1888"/>
      <c r="B41" s="2224" t="str">
        <f t="shared" si="8"/>
        <v>Têxteis</v>
      </c>
      <c r="C41" s="2310">
        <f t="shared" si="5"/>
        <v>0</v>
      </c>
      <c r="D41" s="2310">
        <f t="shared" si="6"/>
        <v>0</v>
      </c>
      <c r="E41" s="2310">
        <f t="shared" si="7"/>
        <v>0</v>
      </c>
      <c r="F41" s="1888"/>
      <c r="G41" s="1888"/>
      <c r="H41" s="1888"/>
      <c r="I41" s="1888"/>
      <c r="J41" s="1888"/>
      <c r="K41" s="1888"/>
      <c r="L41" s="1888"/>
      <c r="M41" s="1888"/>
      <c r="N41" s="1888"/>
      <c r="O41" s="1888"/>
      <c r="P41" s="1888"/>
      <c r="Q41" s="1888"/>
      <c r="R41" s="1888"/>
      <c r="S41" s="1888"/>
      <c r="T41" s="1888"/>
    </row>
    <row r="42" spans="1:20" ht="18" customHeight="1" x14ac:dyDescent="0.2">
      <c r="A42" s="1888"/>
      <c r="B42" s="1906"/>
      <c r="C42" s="2306"/>
      <c r="D42" s="2306"/>
      <c r="E42" s="2306"/>
      <c r="F42" s="1888"/>
      <c r="G42" s="1888"/>
      <c r="H42" s="1888"/>
      <c r="I42" s="1888"/>
      <c r="J42" s="1888"/>
      <c r="K42" s="1888"/>
      <c r="L42" s="1888"/>
      <c r="M42" s="1888"/>
      <c r="N42" s="1888"/>
      <c r="O42" s="1888"/>
      <c r="P42" s="1888"/>
      <c r="Q42" s="1888"/>
      <c r="R42" s="1888"/>
      <c r="S42" s="1888"/>
      <c r="T42" s="1888"/>
    </row>
    <row r="43" spans="1:20" ht="18" customHeight="1" x14ac:dyDescent="0.2">
      <c r="A43" s="1888"/>
      <c r="B43" s="1977" t="s">
        <v>1266</v>
      </c>
      <c r="C43" s="2309"/>
      <c r="D43" s="2309"/>
      <c r="E43" s="2309"/>
      <c r="F43" s="1888"/>
      <c r="G43" s="1888"/>
      <c r="H43" s="1888"/>
      <c r="I43" s="1888"/>
      <c r="J43" s="1888"/>
      <c r="K43" s="1888"/>
      <c r="L43" s="1888"/>
      <c r="M43" s="1888"/>
      <c r="N43" s="1888"/>
      <c r="O43" s="1888"/>
      <c r="P43" s="1888"/>
      <c r="Q43" s="1888"/>
      <c r="R43" s="1888"/>
      <c r="S43" s="1888"/>
      <c r="T43" s="1888"/>
    </row>
    <row r="44" spans="1:20" ht="18" customHeight="1" x14ac:dyDescent="0.2">
      <c r="A44" s="1888"/>
      <c r="B44" s="2378"/>
      <c r="C44" s="2309"/>
      <c r="D44" s="2309"/>
      <c r="E44" s="2309"/>
      <c r="F44" s="1888"/>
      <c r="G44" s="1888"/>
      <c r="H44" s="1888"/>
      <c r="I44" s="1888"/>
      <c r="J44" s="1888"/>
      <c r="K44" s="1888"/>
      <c r="L44" s="1888"/>
      <c r="M44" s="1888"/>
      <c r="N44" s="1888"/>
      <c r="O44" s="1888"/>
      <c r="P44" s="1888"/>
      <c r="Q44" s="1888"/>
      <c r="R44" s="1888"/>
      <c r="S44" s="1888"/>
      <c r="T44" s="1888"/>
    </row>
    <row r="45" spans="1:20" ht="18" customHeight="1" x14ac:dyDescent="0.2">
      <c r="A45" s="1888"/>
      <c r="B45" s="2224" t="str">
        <f>B18</f>
        <v>Resíduos dispersos</v>
      </c>
      <c r="C45" s="2310">
        <f t="shared" ref="C45:C53" si="9">+L62</f>
        <v>0</v>
      </c>
      <c r="D45" s="2310">
        <f t="shared" ref="D45:D54" si="10">+L73</f>
        <v>0</v>
      </c>
      <c r="E45" s="2310">
        <f t="shared" ref="E45:E53" si="11">+D45+C45</f>
        <v>0</v>
      </c>
      <c r="F45" s="1888"/>
      <c r="G45" s="1888"/>
      <c r="H45" s="1888"/>
      <c r="I45" s="1888"/>
      <c r="J45" s="1888"/>
      <c r="K45" s="1888"/>
      <c r="L45" s="1888"/>
      <c r="M45" s="1888"/>
      <c r="N45" s="1888"/>
      <c r="O45" s="1888"/>
      <c r="P45" s="1888"/>
      <c r="Q45" s="1888"/>
      <c r="R45" s="1888"/>
      <c r="S45" s="1888"/>
      <c r="T45" s="1888"/>
    </row>
    <row r="46" spans="1:20" ht="18" customHeight="1" x14ac:dyDescent="0.2">
      <c r="A46" s="1888"/>
      <c r="B46" s="2224" t="str">
        <f t="shared" ref="B46:B54" si="12">B19</f>
        <v>Queima a céu aberto</v>
      </c>
      <c r="C46" s="2310">
        <f t="shared" si="9"/>
        <v>0</v>
      </c>
      <c r="D46" s="2310">
        <f t="shared" si="10"/>
        <v>0</v>
      </c>
      <c r="E46" s="2310">
        <f t="shared" si="11"/>
        <v>0</v>
      </c>
      <c r="F46" s="1888"/>
      <c r="G46" s="1888"/>
      <c r="H46" s="1888"/>
      <c r="I46" s="1888"/>
      <c r="J46" s="1888"/>
      <c r="K46" s="1888"/>
      <c r="L46" s="1888"/>
      <c r="M46" s="1888"/>
      <c r="N46" s="1888"/>
      <c r="O46" s="1888"/>
      <c r="P46" s="1888"/>
      <c r="Q46" s="1888"/>
      <c r="R46" s="1888"/>
      <c r="S46" s="1888"/>
      <c r="T46" s="1888"/>
    </row>
    <row r="47" spans="1:20" ht="18" customHeight="1" x14ac:dyDescent="0.2">
      <c r="A47" s="1888"/>
      <c r="B47" s="2224" t="str">
        <f t="shared" si="12"/>
        <v>Lixão não controlado</v>
      </c>
      <c r="C47" s="2310">
        <f t="shared" si="9"/>
        <v>0</v>
      </c>
      <c r="D47" s="2310">
        <f t="shared" si="10"/>
        <v>0</v>
      </c>
      <c r="E47" s="2310">
        <f t="shared" si="11"/>
        <v>0</v>
      </c>
      <c r="F47" s="1888"/>
      <c r="G47" s="1888"/>
      <c r="H47" s="1888"/>
      <c r="I47" s="1888"/>
      <c r="J47" s="1888"/>
      <c r="K47" s="1888"/>
      <c r="L47" s="1888"/>
      <c r="M47" s="1888"/>
      <c r="N47" s="1888"/>
      <c r="O47" s="1888"/>
      <c r="P47" s="1888"/>
      <c r="Q47" s="1888"/>
      <c r="R47" s="1888"/>
      <c r="S47" s="1888"/>
      <c r="T47" s="1888"/>
    </row>
    <row r="48" spans="1:20" ht="18" customHeight="1" x14ac:dyDescent="0.2">
      <c r="A48" s="1888"/>
      <c r="B48" s="2224" t="str">
        <f t="shared" si="12"/>
        <v>Aterro controlado</v>
      </c>
      <c r="C48" s="2310">
        <f t="shared" si="9"/>
        <v>52922.54492561012</v>
      </c>
      <c r="D48" s="2310">
        <f t="shared" si="10"/>
        <v>0</v>
      </c>
      <c r="E48" s="2310">
        <f t="shared" si="11"/>
        <v>52922.54492561012</v>
      </c>
      <c r="F48" s="1888"/>
      <c r="G48" s="1888"/>
      <c r="H48" s="1888"/>
      <c r="I48" s="1888"/>
      <c r="J48" s="1888"/>
      <c r="K48" s="1888"/>
      <c r="L48" s="1888"/>
      <c r="M48" s="1888"/>
      <c r="N48" s="1888"/>
      <c r="O48" s="1888"/>
      <c r="P48" s="1888"/>
      <c r="Q48" s="1888"/>
      <c r="R48" s="1888"/>
      <c r="S48" s="1888"/>
      <c r="T48" s="1888"/>
    </row>
    <row r="49" spans="1:20" ht="18" customHeight="1" x14ac:dyDescent="0.2">
      <c r="A49" s="1888"/>
      <c r="B49" s="2224" t="str">
        <f t="shared" si="12"/>
        <v>Aterro sanitário</v>
      </c>
      <c r="C49" s="2310">
        <f t="shared" si="9"/>
        <v>0</v>
      </c>
      <c r="D49" s="2310">
        <f t="shared" si="10"/>
        <v>0</v>
      </c>
      <c r="E49" s="2310">
        <f t="shared" si="11"/>
        <v>0</v>
      </c>
      <c r="F49" s="1888"/>
      <c r="G49" s="1888"/>
      <c r="H49" s="1888"/>
      <c r="I49" s="1888"/>
      <c r="J49" s="1888"/>
      <c r="K49" s="1888"/>
      <c r="L49" s="1888"/>
      <c r="M49" s="1888"/>
      <c r="N49" s="1888"/>
      <c r="O49" s="1888"/>
      <c r="P49" s="1888"/>
      <c r="Q49" s="1888"/>
      <c r="R49" s="1888"/>
      <c r="S49" s="1888"/>
      <c r="T49" s="1888"/>
    </row>
    <row r="50" spans="1:20" ht="18" customHeight="1" x14ac:dyDescent="0.2">
      <c r="A50" s="1888"/>
      <c r="B50" s="2224" t="str">
        <f t="shared" si="12"/>
        <v>Trat. biol + cobertura at.</v>
      </c>
      <c r="C50" s="2310">
        <f t="shared" si="9"/>
        <v>0</v>
      </c>
      <c r="D50" s="2310">
        <f t="shared" si="10"/>
        <v>0</v>
      </c>
      <c r="E50" s="2310">
        <f t="shared" si="11"/>
        <v>0</v>
      </c>
      <c r="F50" s="1888"/>
      <c r="G50" s="1888"/>
      <c r="H50" s="1888"/>
      <c r="I50" s="1888"/>
      <c r="J50" s="1888"/>
      <c r="K50" s="1888"/>
      <c r="L50" s="1888"/>
      <c r="M50" s="1888"/>
      <c r="N50" s="1888"/>
      <c r="O50" s="1888"/>
      <c r="P50" s="1888"/>
      <c r="Q50" s="1888"/>
      <c r="R50" s="1888"/>
      <c r="S50" s="1888"/>
      <c r="T50" s="1888"/>
    </row>
    <row r="51" spans="1:20" ht="18" customHeight="1" x14ac:dyDescent="0.2">
      <c r="A51" s="1888"/>
      <c r="B51" s="2224" t="str">
        <f t="shared" si="12"/>
        <v>CDR seco + rejeito aterro</v>
      </c>
      <c r="C51" s="2310">
        <f t="shared" si="9"/>
        <v>0</v>
      </c>
      <c r="D51" s="2310">
        <f t="shared" si="10"/>
        <v>0</v>
      </c>
      <c r="E51" s="2310">
        <f t="shared" si="11"/>
        <v>0</v>
      </c>
      <c r="F51" s="1888"/>
      <c r="G51" s="2279"/>
      <c r="H51" s="2280"/>
      <c r="I51" s="2280"/>
      <c r="J51" s="2280"/>
      <c r="K51" s="1888"/>
      <c r="L51" s="1888"/>
      <c r="M51" s="1888"/>
      <c r="N51" s="1888"/>
      <c r="O51" s="1888"/>
      <c r="P51" s="1888"/>
      <c r="Q51" s="1888"/>
      <c r="R51" s="1888"/>
      <c r="S51" s="1888"/>
      <c r="T51" s="1888"/>
    </row>
    <row r="52" spans="1:20" ht="18" customHeight="1" x14ac:dyDescent="0.2">
      <c r="A52" s="1888"/>
      <c r="B52" s="2224" t="str">
        <f t="shared" si="12"/>
        <v>CDR seco + trat. biol.</v>
      </c>
      <c r="C52" s="2310">
        <f t="shared" si="9"/>
        <v>0</v>
      </c>
      <c r="D52" s="2310">
        <f t="shared" si="10"/>
        <v>0</v>
      </c>
      <c r="E52" s="2310">
        <f t="shared" si="11"/>
        <v>0</v>
      </c>
      <c r="F52" s="1888"/>
      <c r="G52" s="2384"/>
      <c r="H52" s="2268" t="s">
        <v>1254</v>
      </c>
      <c r="I52" s="2268" t="s">
        <v>1269</v>
      </c>
      <c r="J52" s="2268" t="s">
        <v>1255</v>
      </c>
      <c r="K52" s="1888"/>
      <c r="L52" s="1888"/>
      <c r="M52" s="1888"/>
      <c r="N52" s="1888"/>
      <c r="O52" s="1888"/>
      <c r="P52" s="1888"/>
      <c r="Q52" s="1888"/>
      <c r="R52" s="1888"/>
      <c r="S52" s="1888"/>
      <c r="T52" s="1888"/>
    </row>
    <row r="53" spans="1:20" ht="18" customHeight="1" x14ac:dyDescent="0.2">
      <c r="A53" s="1888"/>
      <c r="B53" s="2224" t="str">
        <f t="shared" si="12"/>
        <v>CDR seco + CDR org.</v>
      </c>
      <c r="C53" s="2310">
        <f t="shared" si="9"/>
        <v>14297.711968001611</v>
      </c>
      <c r="D53" s="2310">
        <f t="shared" si="10"/>
        <v>-80794.489341582099</v>
      </c>
      <c r="E53" s="2310">
        <f t="shared" si="11"/>
        <v>-66496.777373580495</v>
      </c>
      <c r="F53" s="1888"/>
      <c r="G53" s="1965" t="s">
        <v>1256</v>
      </c>
      <c r="H53" s="2297">
        <f>SUM(C34:C41)</f>
        <v>10561.463048000001</v>
      </c>
      <c r="I53" s="2297">
        <f>SUM(C45:C54)</f>
        <v>67220.256893611731</v>
      </c>
      <c r="J53" s="2297">
        <f>+I53+H53</f>
        <v>77781.719941611736</v>
      </c>
      <c r="K53" s="1888"/>
      <c r="L53" s="1888"/>
      <c r="M53" s="1888"/>
      <c r="N53" s="1888"/>
      <c r="O53" s="1888"/>
      <c r="P53" s="1888"/>
      <c r="Q53" s="1888"/>
      <c r="R53" s="1888"/>
      <c r="S53" s="1888"/>
      <c r="T53" s="1888"/>
    </row>
    <row r="54" spans="1:20" ht="18" customHeight="1" x14ac:dyDescent="0.2">
      <c r="A54" s="1888"/>
      <c r="B54" s="2224" t="str">
        <f t="shared" si="12"/>
        <v>Incineração</v>
      </c>
      <c r="C54" s="2310">
        <f>+L71</f>
        <v>0</v>
      </c>
      <c r="D54" s="2310">
        <f t="shared" si="10"/>
        <v>0</v>
      </c>
      <c r="E54" s="2310">
        <f>+D54+C54</f>
        <v>0</v>
      </c>
      <c r="F54" s="1888"/>
      <c r="G54" s="1965" t="s">
        <v>1257</v>
      </c>
      <c r="H54" s="2297">
        <f>SUM(D34:D41)</f>
        <v>-31824.008943999997</v>
      </c>
      <c r="I54" s="2297">
        <f>SUM(D45:D54)</f>
        <v>-80794.489341582099</v>
      </c>
      <c r="J54" s="2297">
        <f>+I54+H54</f>
        <v>-112618.4982855821</v>
      </c>
      <c r="K54" s="1888"/>
      <c r="L54" s="1888"/>
      <c r="M54" s="1888"/>
      <c r="N54" s="1888"/>
      <c r="O54" s="1888"/>
      <c r="P54" s="1888"/>
      <c r="Q54" s="1888"/>
      <c r="R54" s="1888"/>
      <c r="S54" s="1888"/>
      <c r="T54" s="1888"/>
    </row>
    <row r="55" spans="1:20" ht="18" customHeight="1" x14ac:dyDescent="0.2">
      <c r="A55" s="1888"/>
      <c r="B55" s="1906"/>
      <c r="C55" s="2306"/>
      <c r="D55" s="2306"/>
      <c r="E55" s="2306"/>
      <c r="F55" s="1888"/>
      <c r="G55" s="1965" t="s">
        <v>1258</v>
      </c>
      <c r="H55" s="2297">
        <f>+H53+H54</f>
        <v>-21262.545895999996</v>
      </c>
      <c r="I55" s="2297">
        <f>+I53+I54</f>
        <v>-13574.232447970368</v>
      </c>
      <c r="J55" s="2297">
        <f>+I55+H55</f>
        <v>-34836.778343970363</v>
      </c>
      <c r="K55" s="1888"/>
      <c r="L55" s="1888"/>
      <c r="M55" s="1888"/>
      <c r="N55" s="1888"/>
      <c r="O55" s="1888"/>
      <c r="P55" s="1888"/>
      <c r="Q55" s="1888"/>
      <c r="R55" s="1888"/>
      <c r="S55" s="1888"/>
      <c r="T55" s="1888"/>
    </row>
    <row r="56" spans="1:20" ht="18" customHeight="1" x14ac:dyDescent="0.2">
      <c r="A56" s="1888"/>
      <c r="B56" s="1977" t="s">
        <v>52</v>
      </c>
      <c r="C56" s="2330">
        <f>SUM(C34:C54)</f>
        <v>77781.719941611722</v>
      </c>
      <c r="D56" s="2330">
        <f>SUM(D34:D54)</f>
        <v>-112618.4982855821</v>
      </c>
      <c r="E56" s="2330">
        <f>+D56+C56</f>
        <v>-34836.778343970378</v>
      </c>
      <c r="F56" s="1888"/>
      <c r="G56" s="2279"/>
      <c r="H56" s="2288"/>
      <c r="I56" s="2288"/>
      <c r="J56" s="2288"/>
      <c r="K56" s="1888"/>
      <c r="L56" s="1888"/>
      <c r="M56" s="1888"/>
      <c r="N56" s="1888"/>
      <c r="O56" s="1888"/>
      <c r="P56" s="1888"/>
      <c r="Q56" s="1888"/>
      <c r="R56" s="1888"/>
      <c r="S56" s="1888"/>
      <c r="T56" s="1888"/>
    </row>
    <row r="57" spans="1:20"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0"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0" s="2227" customFormat="1" ht="26.1" customHeight="1" x14ac:dyDescent="0.2">
      <c r="A59" s="2289" t="s">
        <v>1259</v>
      </c>
      <c r="B59" s="1983"/>
      <c r="C59" s="2328"/>
      <c r="D59" s="2328"/>
      <c r="E59" s="2328"/>
      <c r="F59" s="2226"/>
      <c r="G59" s="1983"/>
      <c r="H59" s="1983"/>
      <c r="I59" s="1983"/>
      <c r="J59" s="1983"/>
      <c r="K59" s="1910" t="s">
        <v>1260</v>
      </c>
      <c r="L59" s="1983"/>
      <c r="M59" s="1983"/>
      <c r="N59" s="1983"/>
      <c r="O59" s="1983"/>
      <c r="P59" s="1983"/>
      <c r="Q59" s="1983"/>
      <c r="R59" s="1983"/>
      <c r="S59" s="1983"/>
      <c r="T59" s="1983"/>
    </row>
    <row r="60" spans="1:20"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0" ht="18" customHeight="1" x14ac:dyDescent="0.2">
      <c r="A61" s="1888"/>
      <c r="B61" s="2407"/>
      <c r="C61" s="2304" t="s">
        <v>1238</v>
      </c>
      <c r="D61" s="2077" t="s">
        <v>1258</v>
      </c>
      <c r="E61" s="1888"/>
      <c r="F61" s="1888"/>
      <c r="G61" s="1888"/>
      <c r="H61" s="1888"/>
      <c r="I61" s="1888"/>
      <c r="J61" s="2408"/>
      <c r="K61" s="2409"/>
      <c r="L61" s="2077" t="s">
        <v>1266</v>
      </c>
      <c r="M61" s="2077" t="s">
        <v>1258</v>
      </c>
      <c r="N61" s="1888"/>
      <c r="O61" s="1888"/>
      <c r="P61" s="1888"/>
      <c r="Q61" s="1888"/>
      <c r="R61" s="1888"/>
      <c r="S61" s="1888"/>
      <c r="T61" s="1888"/>
    </row>
    <row r="62" spans="1:20" ht="18" customHeight="1" x14ac:dyDescent="0.2">
      <c r="A62" s="1888"/>
      <c r="B62" s="2301" t="str">
        <f>+'CO2 - Cálculos'!AC16</f>
        <v>Resíduos de alimentos</v>
      </c>
      <c r="C62" s="2310">
        <f>+'CO2 - Cálculos'!AI16</f>
        <v>0</v>
      </c>
      <c r="D62" s="2377"/>
      <c r="E62" s="1888"/>
      <c r="F62" s="1888"/>
      <c r="G62" s="1888"/>
      <c r="H62" s="1888"/>
      <c r="I62" s="1888"/>
      <c r="J62" s="2408"/>
      <c r="K62" s="2410" t="str">
        <f>+'CO2 - Cálculos'!AC61</f>
        <v>Resíduos dispersos</v>
      </c>
      <c r="L62" s="2411">
        <f>+'CO2 - Cálculos'!AI61</f>
        <v>0</v>
      </c>
      <c r="M62" s="2378"/>
      <c r="N62" s="1888"/>
      <c r="O62" s="1888"/>
      <c r="P62" s="1888"/>
      <c r="Q62" s="1888"/>
      <c r="R62" s="1888"/>
      <c r="S62" s="1888"/>
      <c r="T62" s="1888"/>
    </row>
    <row r="63" spans="1:20" ht="18" customHeight="1" x14ac:dyDescent="0.2">
      <c r="A63" s="1888"/>
      <c r="B63" s="2301" t="str">
        <f>+'CO2 - Cálculos'!AC17</f>
        <v>Resíduos de jardins e parques</v>
      </c>
      <c r="C63" s="2310">
        <f>+'CO2 - Cálculos'!AI17</f>
        <v>0</v>
      </c>
      <c r="D63" s="2377"/>
      <c r="E63" s="1888"/>
      <c r="F63" s="1888"/>
      <c r="G63" s="1888"/>
      <c r="H63" s="1888"/>
      <c r="I63" s="1888"/>
      <c r="J63" s="2408"/>
      <c r="K63" s="2410" t="str">
        <f>+'CO2 - Cálculos'!AC62</f>
        <v>Queima a céu aberto</v>
      </c>
      <c r="L63" s="2411">
        <f>+'CO2 - Cálculos'!AI62</f>
        <v>0</v>
      </c>
      <c r="M63" s="2378"/>
      <c r="N63" s="1888"/>
      <c r="O63" s="1888"/>
      <c r="P63" s="1888"/>
      <c r="Q63" s="1888"/>
      <c r="R63" s="1888"/>
      <c r="S63" s="1888"/>
      <c r="T63" s="1888"/>
    </row>
    <row r="64" spans="1:20" ht="18" customHeight="1" x14ac:dyDescent="0.2">
      <c r="A64" s="1888"/>
      <c r="B64" s="2301" t="str">
        <f>+'CO2 - Cálculos'!AC18</f>
        <v>Papel, papelão</v>
      </c>
      <c r="C64" s="2310">
        <f>+'CO2 - Cálculos'!AI18</f>
        <v>7999.4112480000003</v>
      </c>
      <c r="D64" s="2377"/>
      <c r="E64" s="1888"/>
      <c r="F64" s="1888"/>
      <c r="G64" s="1888"/>
      <c r="H64" s="1888"/>
      <c r="I64" s="1888"/>
      <c r="J64" s="2408"/>
      <c r="K64" s="2410" t="str">
        <f>+'CO2 - Cálculos'!AC63</f>
        <v>Lixão não controlado</v>
      </c>
      <c r="L64" s="2411">
        <f>+'CO2 - Cálculos'!AI63</f>
        <v>0</v>
      </c>
      <c r="M64" s="2378"/>
      <c r="N64" s="1888"/>
      <c r="O64" s="1888"/>
      <c r="P64" s="1888"/>
      <c r="Q64" s="1888"/>
      <c r="R64" s="1888"/>
      <c r="S64" s="1888"/>
      <c r="T64" s="1888"/>
    </row>
    <row r="65" spans="1:20" ht="18" customHeight="1" x14ac:dyDescent="0.2">
      <c r="A65" s="1888"/>
      <c r="B65" s="2301" t="str">
        <f>+'CO2 - Cálculos'!AC19</f>
        <v>Plásticos</v>
      </c>
      <c r="C65" s="2310">
        <f>+'CO2 - Cálculos'!AI19</f>
        <v>1777.8420000000001</v>
      </c>
      <c r="D65" s="2377"/>
      <c r="E65" s="1888"/>
      <c r="F65" s="1888"/>
      <c r="G65" s="1888"/>
      <c r="H65" s="1888"/>
      <c r="I65" s="1888"/>
      <c r="J65" s="2408"/>
      <c r="K65" s="2410" t="str">
        <f>+'CO2 - Cálculos'!AC64</f>
        <v>Aterro controlado</v>
      </c>
      <c r="L65" s="2411">
        <f>+'CO2 - Cálculos'!AI64</f>
        <v>52922.54492561012</v>
      </c>
      <c r="M65" s="2378"/>
      <c r="N65" s="1888"/>
      <c r="O65" s="1888"/>
      <c r="P65" s="1888"/>
      <c r="Q65" s="1888"/>
      <c r="R65" s="1888"/>
      <c r="S65" s="1888"/>
      <c r="T65" s="1888"/>
    </row>
    <row r="66" spans="1:20" ht="18" customHeight="1" x14ac:dyDescent="0.2">
      <c r="A66" s="1888"/>
      <c r="B66" s="2301" t="str">
        <f>+'CO2 - Cálculos'!AC20</f>
        <v>Vidros</v>
      </c>
      <c r="C66" s="2310">
        <f>+'CO2 - Cálculos'!AI20</f>
        <v>0</v>
      </c>
      <c r="D66" s="2377"/>
      <c r="E66" s="1888"/>
      <c r="F66" s="1888"/>
      <c r="G66" s="1888"/>
      <c r="H66" s="1888"/>
      <c r="I66" s="1888"/>
      <c r="J66" s="2408"/>
      <c r="K66" s="2410" t="str">
        <f>+'CO2 - Cálculos'!AC65</f>
        <v>Aterro sanitário</v>
      </c>
      <c r="L66" s="2411">
        <f>+'CO2 - Cálculos'!AI65</f>
        <v>0</v>
      </c>
      <c r="M66" s="2378"/>
      <c r="N66" s="1888"/>
      <c r="O66" s="1888"/>
      <c r="P66" s="1888"/>
      <c r="Q66" s="1888"/>
      <c r="R66" s="1888"/>
      <c r="S66" s="1888"/>
      <c r="T66" s="1888"/>
    </row>
    <row r="67" spans="1:20" ht="18" customHeight="1" x14ac:dyDescent="0.2">
      <c r="A67" s="1888"/>
      <c r="B67" s="2301" t="str">
        <f>+'CO2 - Cálculos'!AC21</f>
        <v>Metais ferrosos</v>
      </c>
      <c r="C67" s="2310">
        <f>+'CO2 - Cálculos'!AI21</f>
        <v>204.16639999999998</v>
      </c>
      <c r="D67" s="2377"/>
      <c r="E67" s="1888"/>
      <c r="F67" s="1888"/>
      <c r="G67" s="1888"/>
      <c r="H67" s="1888"/>
      <c r="I67" s="1888"/>
      <c r="J67" s="2412"/>
      <c r="K67" s="2410" t="str">
        <f>+'CO2 - Cálculos'!AC66</f>
        <v>Trat. biol + cobertura at.</v>
      </c>
      <c r="L67" s="2411">
        <f>+'CO2 - Cálculos'!AI66</f>
        <v>0</v>
      </c>
      <c r="M67" s="2378"/>
      <c r="N67" s="1888"/>
      <c r="O67" s="1888"/>
      <c r="P67" s="1888"/>
      <c r="Q67" s="1888"/>
      <c r="R67" s="1888"/>
      <c r="S67" s="1888"/>
      <c r="T67" s="1888"/>
    </row>
    <row r="68" spans="1:20" ht="18" customHeight="1" x14ac:dyDescent="0.2">
      <c r="A68" s="1888"/>
      <c r="B68" s="2301" t="str">
        <f>+'CO2 - Cálculos'!AC22</f>
        <v>Alumínio</v>
      </c>
      <c r="C68" s="2310">
        <f>+'CO2 - Cálculos'!AI22</f>
        <v>580.04339999999991</v>
      </c>
      <c r="D68" s="2377"/>
      <c r="E68" s="1888"/>
      <c r="F68" s="1888"/>
      <c r="G68" s="1888"/>
      <c r="H68" s="1888"/>
      <c r="I68" s="1888"/>
      <c r="J68" s="2412"/>
      <c r="K68" s="2410" t="str">
        <f>+'CO2 - Cálculos'!AC67</f>
        <v>CDR seco + rejeito aterro</v>
      </c>
      <c r="L68" s="2411">
        <f>+'CO2 - Cálculos'!AI67</f>
        <v>0</v>
      </c>
      <c r="M68" s="2378"/>
      <c r="N68" s="1888"/>
      <c r="O68" s="1888"/>
      <c r="P68" s="1888"/>
      <c r="Q68" s="1888"/>
      <c r="R68" s="1888"/>
      <c r="S68" s="1888"/>
      <c r="T68" s="1888"/>
    </row>
    <row r="69" spans="1:20" ht="18" customHeight="1" x14ac:dyDescent="0.2">
      <c r="A69" s="2232"/>
      <c r="B69" s="2301" t="str">
        <f>+'CO2 - Cálculos'!AC23</f>
        <v>Têxteis</v>
      </c>
      <c r="C69" s="2310">
        <f>+'CO2 - Cálculos'!AI23</f>
        <v>0</v>
      </c>
      <c r="D69" s="2377"/>
      <c r="E69" s="1888"/>
      <c r="F69" s="1888"/>
      <c r="G69" s="1888"/>
      <c r="H69" s="1888"/>
      <c r="I69" s="1888"/>
      <c r="J69" s="2412"/>
      <c r="K69" s="2410" t="str">
        <f>+'CO2 - Cálculos'!AC68</f>
        <v>CDR seco + trat. biol.</v>
      </c>
      <c r="L69" s="2411">
        <f>+'CO2 - Cálculos'!AI68</f>
        <v>0</v>
      </c>
      <c r="M69" s="2378"/>
      <c r="N69" s="1888"/>
      <c r="O69" s="1888"/>
      <c r="P69" s="1888"/>
      <c r="Q69" s="1888"/>
      <c r="R69" s="1888"/>
      <c r="S69" s="1888"/>
      <c r="T69" s="1888"/>
    </row>
    <row r="70" spans="1:20" ht="18" customHeight="1" x14ac:dyDescent="0.2">
      <c r="A70" s="1888"/>
      <c r="B70" s="2363" t="s">
        <v>1256</v>
      </c>
      <c r="C70" s="2377"/>
      <c r="D70" s="2309"/>
      <c r="E70" s="1888"/>
      <c r="F70" s="1888"/>
      <c r="G70" s="1888"/>
      <c r="H70" s="1888"/>
      <c r="I70" s="1888"/>
      <c r="J70" s="2408"/>
      <c r="K70" s="2410" t="str">
        <f>+'CO2 - Cálculos'!AC69</f>
        <v>CDR seco + CDR org.</v>
      </c>
      <c r="L70" s="2411">
        <f>+'CO2 - Cálculos'!AI69</f>
        <v>14297.711968001611</v>
      </c>
      <c r="M70" s="2378"/>
      <c r="N70" s="1888"/>
      <c r="O70" s="1888"/>
      <c r="P70" s="1888"/>
      <c r="Q70" s="1888"/>
      <c r="R70" s="1888"/>
      <c r="S70" s="1888"/>
      <c r="T70" s="1888"/>
    </row>
    <row r="71" spans="1:20" ht="18" customHeight="1" x14ac:dyDescent="0.2">
      <c r="A71" s="1888"/>
      <c r="B71" s="2298" t="str">
        <f>+'CO2 - Cálculos'!AC25</f>
        <v>Resíduos de alimentos</v>
      </c>
      <c r="C71" s="2310">
        <f>+'CO2 - Cálculos'!AI25</f>
        <v>0</v>
      </c>
      <c r="D71" s="2377"/>
      <c r="E71" s="1888"/>
      <c r="F71" s="1888"/>
      <c r="G71" s="1888"/>
      <c r="H71" s="1888"/>
      <c r="I71" s="1888"/>
      <c r="J71" s="2408"/>
      <c r="K71" s="2410" t="str">
        <f>+'CO2 - Cálculos'!AC70</f>
        <v>Incineração</v>
      </c>
      <c r="L71" s="2411">
        <f>+'CO2 - Cálculos'!AI70</f>
        <v>0</v>
      </c>
      <c r="M71" s="2378"/>
      <c r="N71" s="1888"/>
      <c r="O71" s="1888"/>
      <c r="P71" s="1888"/>
      <c r="Q71" s="1888"/>
      <c r="R71" s="1888"/>
      <c r="S71" s="1888"/>
      <c r="T71" s="1888"/>
    </row>
    <row r="72" spans="1:20" ht="18" customHeight="1" x14ac:dyDescent="0.2">
      <c r="A72" s="1888"/>
      <c r="B72" s="2298" t="str">
        <f>+'CO2 - Cálculos'!AC26</f>
        <v>Resíduos de jardins e parques</v>
      </c>
      <c r="C72" s="2310">
        <f>+'CO2 - Cálculos'!AI26</f>
        <v>0</v>
      </c>
      <c r="D72" s="2377"/>
      <c r="E72" s="1888"/>
      <c r="F72" s="1888"/>
      <c r="G72" s="1888"/>
      <c r="H72" s="1888"/>
      <c r="I72" s="1888"/>
      <c r="J72" s="2408"/>
      <c r="K72" s="2413" t="s">
        <v>1256</v>
      </c>
      <c r="L72" s="2378"/>
      <c r="M72" s="2378"/>
      <c r="N72" s="1888"/>
      <c r="O72" s="1888"/>
      <c r="P72" s="1888"/>
      <c r="Q72" s="1888"/>
      <c r="R72" s="1888"/>
      <c r="S72" s="1888"/>
      <c r="T72" s="1888"/>
    </row>
    <row r="73" spans="1:20" ht="18" customHeight="1" x14ac:dyDescent="0.2">
      <c r="A73" s="1888"/>
      <c r="B73" s="2298" t="str">
        <f>+'CO2 - Cálculos'!AC27</f>
        <v>Papel, papelão</v>
      </c>
      <c r="C73" s="2310">
        <f>+'CO2 - Cálculos'!AI27</f>
        <v>-9859.1469840000009</v>
      </c>
      <c r="D73" s="2377"/>
      <c r="E73" s="1888"/>
      <c r="F73" s="1888"/>
      <c r="G73" s="1888"/>
      <c r="H73" s="1888"/>
      <c r="I73" s="1888"/>
      <c r="J73" s="2408"/>
      <c r="K73" s="2410" t="str">
        <f>+'CO2 - Cálculos'!AC72</f>
        <v>Resíduos dispersos</v>
      </c>
      <c r="L73" s="2414">
        <f>+'CO2 - Cálculos'!AI72</f>
        <v>0</v>
      </c>
      <c r="M73" s="2378"/>
      <c r="N73" s="1888"/>
      <c r="O73" s="1888"/>
      <c r="P73" s="1888"/>
      <c r="Q73" s="1888"/>
      <c r="R73" s="1888"/>
      <c r="S73" s="1888"/>
      <c r="T73" s="1888"/>
    </row>
    <row r="74" spans="1:20" ht="18" customHeight="1" x14ac:dyDescent="0.2">
      <c r="A74" s="1888"/>
      <c r="B74" s="2298" t="str">
        <f>+'CO2 - Cálculos'!AC28</f>
        <v>Plásticos</v>
      </c>
      <c r="C74" s="2310">
        <f>+'CO2 - Cálculos'!AI28</f>
        <v>-8281.2747600000002</v>
      </c>
      <c r="D74" s="2377"/>
      <c r="E74" s="1888"/>
      <c r="F74" s="1888"/>
      <c r="G74" s="1888"/>
      <c r="H74" s="1888"/>
      <c r="I74" s="1888"/>
      <c r="J74" s="2408"/>
      <c r="K74" s="2410" t="str">
        <f>+'CO2 - Cálculos'!AC73</f>
        <v>Queima a céu aberto</v>
      </c>
      <c r="L74" s="2414">
        <f>+'CO2 - Cálculos'!AI73</f>
        <v>0</v>
      </c>
      <c r="M74" s="2378"/>
      <c r="N74" s="1888"/>
      <c r="O74" s="1888"/>
      <c r="P74" s="1888"/>
      <c r="Q74" s="1888"/>
      <c r="R74" s="1888"/>
      <c r="S74" s="1888"/>
      <c r="T74" s="1888"/>
    </row>
    <row r="75" spans="1:20" ht="18" customHeight="1" x14ac:dyDescent="0.2">
      <c r="A75" s="1888"/>
      <c r="B75" s="2298" t="str">
        <f>+'CO2 - Cálculos'!AC29</f>
        <v>Vidros</v>
      </c>
      <c r="C75" s="2310">
        <f>+'CO2 - Cálculos'!AI29</f>
        <v>0</v>
      </c>
      <c r="D75" s="2377"/>
      <c r="E75" s="1888"/>
      <c r="F75" s="1888"/>
      <c r="G75" s="1888"/>
      <c r="H75" s="1888"/>
      <c r="I75" s="1888"/>
      <c r="J75" s="2408"/>
      <c r="K75" s="2410" t="str">
        <f>+'CO2 - Cálculos'!AC74</f>
        <v>Lixão não controlado</v>
      </c>
      <c r="L75" s="2414">
        <f>+'CO2 - Cálculos'!AI74</f>
        <v>0</v>
      </c>
      <c r="M75" s="2378"/>
      <c r="N75" s="1888"/>
      <c r="O75" s="1888"/>
      <c r="P75" s="1888"/>
      <c r="Q75" s="1888"/>
      <c r="R75" s="1888"/>
      <c r="S75" s="1888"/>
      <c r="T75" s="1888"/>
    </row>
    <row r="76" spans="1:20" ht="18" customHeight="1" x14ac:dyDescent="0.2">
      <c r="A76" s="1888"/>
      <c r="B76" s="2298" t="str">
        <f>+'CO2 - Cálculos'!AC30</f>
        <v>Metais ferrosos</v>
      </c>
      <c r="C76" s="2310">
        <f>+'CO2 - Cálculos'!AI30</f>
        <v>-5461.4512000000004</v>
      </c>
      <c r="D76" s="2377"/>
      <c r="E76" s="1888"/>
      <c r="F76" s="1888"/>
      <c r="G76" s="1888"/>
      <c r="H76" s="1888"/>
      <c r="I76" s="1888"/>
      <c r="J76" s="2408"/>
      <c r="K76" s="2410" t="str">
        <f>+'CO2 - Cálculos'!AC75</f>
        <v>Aterro controlado</v>
      </c>
      <c r="L76" s="2414">
        <f>+'CO2 - Cálculos'!AI75</f>
        <v>0</v>
      </c>
      <c r="M76" s="2378"/>
      <c r="N76" s="1888"/>
      <c r="O76" s="1888"/>
      <c r="P76" s="1888"/>
      <c r="Q76" s="1888"/>
      <c r="R76" s="1888"/>
      <c r="S76" s="1888"/>
      <c r="T76" s="1888"/>
    </row>
    <row r="77" spans="1:20" ht="18" customHeight="1" x14ac:dyDescent="0.2">
      <c r="A77" s="1888"/>
      <c r="B77" s="2298" t="str">
        <f>+'CO2 - Cálculos'!AC31</f>
        <v>Alumínio</v>
      </c>
      <c r="C77" s="2310">
        <f>+'CO2 - Cálculos'!AI31</f>
        <v>-8222.1359999999986</v>
      </c>
      <c r="D77" s="2377"/>
      <c r="E77" s="1888"/>
      <c r="F77" s="1888"/>
      <c r="G77" s="1888"/>
      <c r="H77" s="1888"/>
      <c r="I77" s="1888"/>
      <c r="J77" s="2412"/>
      <c r="K77" s="2410" t="str">
        <f>+'CO2 - Cálculos'!AC76</f>
        <v>Aterro sanitário</v>
      </c>
      <c r="L77" s="2414">
        <f>+'CO2 - Cálculos'!AI76</f>
        <v>0</v>
      </c>
      <c r="M77" s="2378"/>
      <c r="N77" s="1888"/>
      <c r="O77" s="1888"/>
      <c r="P77" s="1888"/>
      <c r="Q77" s="1888"/>
      <c r="R77" s="1888"/>
      <c r="S77" s="1888"/>
      <c r="T77" s="1888"/>
    </row>
    <row r="78" spans="1:20" ht="18" customHeight="1" x14ac:dyDescent="0.2">
      <c r="A78" s="1888"/>
      <c r="B78" s="2298" t="str">
        <f>+'CO2 - Cálculos'!AC32</f>
        <v>Têxteis</v>
      </c>
      <c r="C78" s="2310">
        <f>+'CO2 - Cálculos'!AI32</f>
        <v>0</v>
      </c>
      <c r="D78" s="2377"/>
      <c r="E78" s="1888"/>
      <c r="F78" s="1888"/>
      <c r="G78" s="1888"/>
      <c r="H78" s="1888"/>
      <c r="I78" s="1888"/>
      <c r="J78" s="2412"/>
      <c r="K78" s="2410" t="str">
        <f>+'CO2 - Cálculos'!AC77</f>
        <v>Trat. biol + cobertura at.</v>
      </c>
      <c r="L78" s="2414">
        <f>+'CO2 - Cálculos'!AI77</f>
        <v>0</v>
      </c>
      <c r="M78" s="2378"/>
      <c r="N78" s="1888"/>
      <c r="O78" s="1888"/>
      <c r="P78" s="1888"/>
      <c r="Q78" s="1888"/>
      <c r="R78" s="1888"/>
      <c r="S78" s="1888"/>
      <c r="T78" s="1888"/>
    </row>
    <row r="79" spans="1:20" ht="18" customHeight="1" x14ac:dyDescent="0.2">
      <c r="A79" s="1888"/>
      <c r="B79" s="2363" t="s">
        <v>1257</v>
      </c>
      <c r="C79" s="2377"/>
      <c r="D79" s="2309"/>
      <c r="E79" s="1888"/>
      <c r="F79" s="1888"/>
      <c r="G79" s="1888"/>
      <c r="H79" s="1888"/>
      <c r="I79" s="1888"/>
      <c r="J79" s="2412"/>
      <c r="K79" s="2410" t="str">
        <f>+'CO2 - Cálculos'!AC78</f>
        <v>CDR seco + rejeito aterro</v>
      </c>
      <c r="L79" s="2414">
        <f>+'CO2 - Cálculos'!AI78</f>
        <v>0</v>
      </c>
      <c r="M79" s="2378"/>
      <c r="N79" s="1888"/>
      <c r="O79" s="1888"/>
      <c r="P79" s="1888"/>
      <c r="Q79" s="1888"/>
      <c r="R79" s="1888"/>
      <c r="S79" s="1888"/>
      <c r="T79" s="1888"/>
    </row>
    <row r="80" spans="1:20" ht="18" customHeight="1" x14ac:dyDescent="0.2">
      <c r="A80" s="1888"/>
      <c r="B80" s="2363" t="s">
        <v>1258</v>
      </c>
      <c r="C80" s="2377"/>
      <c r="D80" s="2310">
        <f>SUM(C62:C69,C71:C78)</f>
        <v>-21262.545896</v>
      </c>
      <c r="E80" s="1888"/>
      <c r="F80" s="1888"/>
      <c r="G80" s="1888"/>
      <c r="H80" s="1888"/>
      <c r="I80" s="1888"/>
      <c r="J80" s="2408"/>
      <c r="K80" s="2410" t="str">
        <f>+'CO2 - Cálculos'!AC79</f>
        <v>CDR seco + trat. biol.</v>
      </c>
      <c r="L80" s="2414">
        <f>+'CO2 - Cálculos'!AI79</f>
        <v>0</v>
      </c>
      <c r="M80" s="2378"/>
      <c r="N80" s="1888"/>
      <c r="O80" s="1888"/>
      <c r="P80" s="1888"/>
      <c r="Q80" s="1888"/>
      <c r="R80" s="1888"/>
      <c r="S80" s="1888"/>
      <c r="T80" s="1888"/>
    </row>
    <row r="81" spans="1:20" ht="18" customHeight="1" x14ac:dyDescent="0.2">
      <c r="A81" s="1888"/>
      <c r="B81" s="1888"/>
      <c r="C81" s="1888"/>
      <c r="D81" s="1888"/>
      <c r="E81" s="1888"/>
      <c r="F81" s="1888"/>
      <c r="G81" s="1888"/>
      <c r="H81" s="1888"/>
      <c r="I81" s="1888"/>
      <c r="J81" s="2408"/>
      <c r="K81" s="2410" t="str">
        <f>+'CO2 - Cálculos'!AC80</f>
        <v>CDR seco + CDR org.</v>
      </c>
      <c r="L81" s="2414">
        <f>+'CO2 - Cálculos'!AI80</f>
        <v>-80794.489341582099</v>
      </c>
      <c r="M81" s="2378"/>
      <c r="N81" s="1888"/>
      <c r="O81" s="1888"/>
      <c r="P81" s="1888"/>
      <c r="Q81" s="1888"/>
      <c r="R81" s="1888"/>
      <c r="S81" s="1888"/>
      <c r="T81" s="1888"/>
    </row>
    <row r="82" spans="1:20" ht="18" customHeight="1" x14ac:dyDescent="0.2">
      <c r="A82" s="1888"/>
      <c r="B82" s="1888"/>
      <c r="C82" s="1888"/>
      <c r="D82" s="1888"/>
      <c r="E82" s="2265"/>
      <c r="F82" s="1888"/>
      <c r="G82" s="1888"/>
      <c r="H82" s="1888"/>
      <c r="I82" s="1888"/>
      <c r="J82" s="2408"/>
      <c r="K82" s="2410" t="str">
        <f>+'CO2 - Cálculos'!AC81</f>
        <v>Incineração</v>
      </c>
      <c r="L82" s="2414">
        <f>+'CO2 - Cálculos'!AI81</f>
        <v>0</v>
      </c>
      <c r="M82" s="2378"/>
      <c r="N82" s="1888"/>
      <c r="O82" s="1888"/>
      <c r="P82" s="1888"/>
      <c r="Q82" s="1888"/>
      <c r="R82" s="1888"/>
      <c r="S82" s="1888"/>
      <c r="T82" s="1888"/>
    </row>
    <row r="83" spans="1:20" ht="18" customHeight="1" x14ac:dyDescent="0.2">
      <c r="A83" s="1888"/>
      <c r="B83" s="1888"/>
      <c r="C83" s="1888"/>
      <c r="D83" s="1888"/>
      <c r="E83" s="2265"/>
      <c r="F83" s="1888"/>
      <c r="G83" s="1888"/>
      <c r="H83" s="1888"/>
      <c r="I83" s="1888"/>
      <c r="J83" s="2408"/>
      <c r="K83" s="2413" t="s">
        <v>1257</v>
      </c>
      <c r="L83" s="2378"/>
      <c r="M83" s="2378"/>
      <c r="N83" s="1888"/>
      <c r="O83" s="1888"/>
      <c r="P83" s="1888"/>
      <c r="Q83" s="1888"/>
      <c r="R83" s="1888"/>
      <c r="S83" s="1888"/>
      <c r="T83" s="1888"/>
    </row>
    <row r="84" spans="1:20" ht="18" customHeight="1" x14ac:dyDescent="0.2">
      <c r="A84" s="1888"/>
      <c r="B84" s="1888"/>
      <c r="C84" s="1888"/>
      <c r="D84" s="1888"/>
      <c r="E84" s="2265"/>
      <c r="F84" s="1888"/>
      <c r="G84" s="1888"/>
      <c r="H84" s="1888"/>
      <c r="I84" s="1888"/>
      <c r="J84" s="2408"/>
      <c r="K84" s="2413" t="s">
        <v>1258</v>
      </c>
      <c r="L84" s="2378"/>
      <c r="M84" s="2415">
        <f>SUM(L62:L71,L73:L82)</f>
        <v>-13574.232447970368</v>
      </c>
      <c r="N84" s="1888"/>
      <c r="O84" s="1888"/>
      <c r="P84" s="1888"/>
      <c r="Q84" s="1888"/>
      <c r="R84" s="1888"/>
      <c r="S84" s="1888"/>
      <c r="T84" s="1888"/>
    </row>
    <row r="85" spans="1:20" ht="18" customHeight="1"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31CA6-B164-454A-9627-83552200F0AE}">
  <dimension ref="A1:AU120"/>
  <sheetViews>
    <sheetView zoomScale="78" zoomScaleNormal="78"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140625" style="1844" customWidth="1"/>
    <col min="4" max="4" width="15.42578125" style="1844" bestFit="1" customWidth="1"/>
    <col min="5" max="5" width="16.42578125" style="1844" customWidth="1"/>
    <col min="6" max="7" width="11.42578125" style="1844"/>
    <col min="8" max="8" width="14.85546875" style="1844" bestFit="1" customWidth="1"/>
    <col min="9" max="9" width="18.5703125" style="1844" bestFit="1" customWidth="1"/>
    <col min="10" max="10" width="16.42578125" style="1844" customWidth="1"/>
    <col min="11" max="11" width="15.42578125" style="1844" customWidth="1"/>
    <col min="12" max="12" width="19.42578125" style="1844" bestFit="1" customWidth="1"/>
    <col min="13" max="13" width="11" style="1844" customWidth="1"/>
    <col min="14" max="14" width="11.85546875" style="1844" customWidth="1"/>
    <col min="15" max="16384" width="11.42578125" style="1844"/>
  </cols>
  <sheetData>
    <row r="1" spans="1:45" s="2227" customFormat="1" ht="26.1" customHeight="1" x14ac:dyDescent="0.2">
      <c r="A1" s="2289" t="s">
        <v>1268</v>
      </c>
      <c r="B1" s="2398"/>
      <c r="C1" s="2398"/>
      <c r="D1" s="2398"/>
      <c r="E1" s="2398"/>
      <c r="F1" s="2028"/>
      <c r="G1" s="2028"/>
      <c r="H1" s="2028"/>
      <c r="I1" s="2028"/>
      <c r="J1" s="2028"/>
      <c r="K1" s="2028"/>
      <c r="L1" s="2028"/>
      <c r="M1" s="2028"/>
      <c r="N1" s="2028"/>
      <c r="O1" s="2028"/>
      <c r="P1" s="2028"/>
      <c r="Q1" s="2028"/>
      <c r="R1" s="2028"/>
      <c r="S1" s="2028"/>
      <c r="T1" s="2028"/>
      <c r="U1" s="1843"/>
      <c r="V1" s="1843"/>
      <c r="W1" s="1843"/>
      <c r="X1" s="1843"/>
      <c r="Y1" s="1843"/>
      <c r="Z1" s="1843"/>
      <c r="AA1" s="1843"/>
      <c r="AB1" s="1843"/>
      <c r="AC1" s="1843"/>
      <c r="AD1" s="1843"/>
      <c r="AE1" s="1843"/>
      <c r="AF1" s="1843"/>
      <c r="AG1" s="1843"/>
      <c r="AH1" s="1843"/>
      <c r="AI1" s="1843"/>
      <c r="AJ1" s="1843"/>
      <c r="AK1" s="1843"/>
      <c r="AL1" s="1843"/>
      <c r="AM1" s="1843"/>
      <c r="AN1" s="1843"/>
      <c r="AO1" s="1843"/>
      <c r="AP1" s="1843"/>
      <c r="AQ1" s="1843"/>
      <c r="AR1" s="1843"/>
      <c r="AS1" s="1843"/>
    </row>
    <row r="2" spans="1:45" ht="14.25" customHeight="1" x14ac:dyDescent="0.25">
      <c r="A2" s="2399"/>
      <c r="B2" s="2400"/>
      <c r="C2" s="1888"/>
      <c r="D2" s="1888"/>
      <c r="E2" s="1888"/>
      <c r="F2" s="1888"/>
      <c r="G2" s="1888"/>
      <c r="H2" s="1888"/>
      <c r="I2" s="1888"/>
      <c r="J2" s="1888"/>
      <c r="K2" s="1888"/>
      <c r="L2" s="1888"/>
      <c r="M2" s="1888"/>
      <c r="N2" s="1888"/>
      <c r="O2" s="1888"/>
      <c r="P2" s="1888"/>
      <c r="Q2" s="1888"/>
      <c r="R2" s="1888"/>
      <c r="S2" s="1888"/>
      <c r="T2" s="1888"/>
    </row>
    <row r="3" spans="1:45" ht="18" customHeight="1" x14ac:dyDescent="0.25">
      <c r="A3" s="1888"/>
      <c r="B3" s="2230" t="s">
        <v>1237</v>
      </c>
      <c r="C3" s="2231">
        <f>+'CO2 - Cálculos'!AI58</f>
        <v>146000</v>
      </c>
      <c r="D3" s="2232"/>
      <c r="E3" s="2232"/>
      <c r="F3" s="1888"/>
      <c r="G3" s="1888"/>
      <c r="H3" s="1888"/>
      <c r="I3" s="1888"/>
      <c r="J3" s="1888"/>
      <c r="K3" s="1888"/>
      <c r="L3" s="1888"/>
      <c r="M3" s="1888"/>
      <c r="N3" s="1888"/>
      <c r="O3" s="1888"/>
      <c r="P3" s="1888"/>
      <c r="Q3" s="1888"/>
      <c r="R3" s="1888"/>
      <c r="S3" s="1888"/>
      <c r="T3" s="1888"/>
    </row>
    <row r="4" spans="1:45" ht="18" customHeight="1" x14ac:dyDescent="0.25">
      <c r="A4" s="1888"/>
      <c r="B4" s="2285"/>
      <c r="C4" s="2401"/>
      <c r="D4" s="2235"/>
      <c r="E4" s="2235"/>
      <c r="F4" s="1888"/>
      <c r="G4" s="1888"/>
      <c r="H4" s="1888"/>
      <c r="I4" s="1888"/>
      <c r="J4" s="1888"/>
      <c r="K4" s="1888"/>
      <c r="L4" s="1888"/>
      <c r="M4" s="2307"/>
      <c r="N4" s="2307"/>
      <c r="O4" s="2307"/>
      <c r="P4" s="2307"/>
      <c r="Q4" s="2307"/>
      <c r="R4" s="2307"/>
      <c r="S4" s="1888"/>
      <c r="T4" s="1888"/>
    </row>
    <row r="5" spans="1:45" ht="18" customHeight="1" x14ac:dyDescent="0.25">
      <c r="A5" s="1888"/>
      <c r="B5" s="2230" t="s">
        <v>1238</v>
      </c>
      <c r="C5" s="2231">
        <f>+'CO2 - Cálculos'!AI13</f>
        <v>14727.458000000001</v>
      </c>
      <c r="D5" s="2232"/>
      <c r="E5" s="2232"/>
      <c r="F5" s="1888"/>
      <c r="G5" s="1888"/>
      <c r="H5" s="1888"/>
      <c r="I5" s="1888"/>
      <c r="J5" s="1888"/>
      <c r="K5" s="1888"/>
      <c r="L5" s="1888"/>
      <c r="M5" s="2307"/>
      <c r="N5" s="2307"/>
      <c r="O5" s="2971" t="s">
        <v>1263</v>
      </c>
      <c r="P5" s="2972"/>
      <c r="Q5" s="2307"/>
      <c r="R5" s="2307"/>
      <c r="S5" s="1888"/>
      <c r="T5" s="1888"/>
    </row>
    <row r="6" spans="1:45" ht="18" customHeight="1" x14ac:dyDescent="0.25">
      <c r="A6" s="1888"/>
      <c r="B6" s="2402"/>
      <c r="C6" s="2238"/>
      <c r="D6" s="2232"/>
      <c r="E6" s="2232"/>
      <c r="F6" s="1888"/>
      <c r="G6" s="1888"/>
      <c r="H6" s="1888"/>
      <c r="I6" s="1888"/>
      <c r="J6" s="1888"/>
      <c r="K6" s="1888"/>
      <c r="L6" s="1888"/>
      <c r="M6" s="2307"/>
      <c r="N6" s="2307"/>
      <c r="O6" s="2973">
        <f>+C3</f>
        <v>146000</v>
      </c>
      <c r="P6" s="2974"/>
      <c r="Q6" s="2307"/>
      <c r="R6" s="2307"/>
      <c r="S6" s="1888"/>
      <c r="T6" s="1888"/>
    </row>
    <row r="7" spans="1:45" ht="18" customHeight="1" x14ac:dyDescent="0.25">
      <c r="A7" s="1888"/>
      <c r="B7" s="2239" t="s">
        <v>1107</v>
      </c>
      <c r="C7" s="2240">
        <f>+'CO2 - Cálculos'!AJ5</f>
        <v>0</v>
      </c>
      <c r="D7" s="2232"/>
      <c r="E7" s="2232"/>
      <c r="F7" s="1888"/>
      <c r="G7" s="1888"/>
      <c r="H7" s="1888"/>
      <c r="I7" s="1888"/>
      <c r="J7" s="1888"/>
      <c r="K7" s="1888"/>
      <c r="L7" s="1888"/>
      <c r="M7" s="2403"/>
      <c r="N7" s="2307"/>
      <c r="O7" s="2307"/>
      <c r="P7" s="2307"/>
      <c r="Q7" s="2307"/>
      <c r="R7" s="2307"/>
      <c r="S7" s="1888"/>
      <c r="T7" s="1888"/>
    </row>
    <row r="8" spans="1:45" ht="18" customHeight="1" x14ac:dyDescent="0.25">
      <c r="A8" s="1888"/>
      <c r="B8" s="2239" t="s">
        <v>1108</v>
      </c>
      <c r="C8" s="2240">
        <f>+'CO2 - Cálculos'!AJ6</f>
        <v>0</v>
      </c>
      <c r="D8" s="2232"/>
      <c r="E8" s="2232"/>
      <c r="F8" s="1888"/>
      <c r="G8" s="1888"/>
      <c r="H8" s="1888"/>
      <c r="I8" s="1888"/>
      <c r="J8" s="1888"/>
      <c r="K8" s="1888"/>
      <c r="L8" s="1888"/>
      <c r="M8" s="2307"/>
      <c r="N8" s="2307"/>
      <c r="O8" s="2307"/>
      <c r="P8" s="2307"/>
      <c r="Q8" s="2307"/>
      <c r="R8" s="2307"/>
      <c r="S8" s="1888"/>
      <c r="T8" s="1888"/>
    </row>
    <row r="9" spans="1:45" ht="18" customHeight="1" x14ac:dyDescent="0.25">
      <c r="A9" s="1888"/>
      <c r="B9" s="2239" t="s">
        <v>1109</v>
      </c>
      <c r="C9" s="2240">
        <f>+'CO2 - Cálculos'!AJ7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955"/>
      <c r="T9" s="1888"/>
    </row>
    <row r="10" spans="1:45" ht="18" customHeight="1" x14ac:dyDescent="0.25">
      <c r="A10" s="1888"/>
      <c r="B10" s="2239" t="s">
        <v>1110</v>
      </c>
      <c r="C10" s="2240">
        <f>+'CO2 - Cálculos'!AJ8</f>
        <v>4336.2</v>
      </c>
      <c r="D10" s="2232"/>
      <c r="E10" s="2232"/>
      <c r="F10" s="1888"/>
      <c r="G10" s="1888"/>
      <c r="H10" s="1888"/>
      <c r="I10" s="1888"/>
      <c r="J10" s="1888"/>
      <c r="K10" s="1888"/>
      <c r="L10" s="2311"/>
      <c r="M10" s="2317"/>
      <c r="N10" s="2318"/>
      <c r="O10" s="2311"/>
      <c r="P10" s="2311"/>
      <c r="Q10" s="2318"/>
      <c r="R10" s="2317"/>
      <c r="S10" s="1955"/>
      <c r="T10" s="1888"/>
    </row>
    <row r="11" spans="1:45" ht="18" customHeight="1" x14ac:dyDescent="0.25">
      <c r="A11" s="1888"/>
      <c r="B11" s="2239" t="s">
        <v>50</v>
      </c>
      <c r="C11" s="2240">
        <f>+'CO2 - Cálculos'!AJ9</f>
        <v>0</v>
      </c>
      <c r="D11" s="2232"/>
      <c r="E11" s="2232"/>
      <c r="F11" s="1888"/>
      <c r="G11" s="1888"/>
      <c r="H11" s="1888"/>
      <c r="I11" s="1888"/>
      <c r="J11" s="1888"/>
      <c r="K11" s="1888"/>
      <c r="L11" s="2311"/>
      <c r="M11" s="1864" t="str">
        <f t="shared" ref="M11:N18" si="0">+B7</f>
        <v>Resíduos de alimentos</v>
      </c>
      <c r="N11" s="2404">
        <f t="shared" si="0"/>
        <v>0</v>
      </c>
      <c r="O11" s="2320">
        <f t="shared" ref="O11:O18" si="1">+N11/$N$9</f>
        <v>0</v>
      </c>
      <c r="P11" s="2321">
        <f t="shared" ref="P11:P19" si="2">+Q11/$Q$9</f>
        <v>0</v>
      </c>
      <c r="Q11" s="2322">
        <f t="shared" ref="Q11:Q19" si="3">+C18</f>
        <v>0</v>
      </c>
      <c r="R11" s="2316" t="str">
        <f t="shared" ref="R11:R19" si="4">+B18</f>
        <v>Resíduos dispersos</v>
      </c>
      <c r="S11" s="1955"/>
      <c r="T11" s="1888"/>
    </row>
    <row r="12" spans="1:45" ht="18" customHeight="1" x14ac:dyDescent="0.25">
      <c r="A12" s="1888"/>
      <c r="B12" s="2239" t="s">
        <v>1111</v>
      </c>
      <c r="C12" s="2240">
        <f>+'CO2 - Cálculos'!AJ10</f>
        <v>3190.1</v>
      </c>
      <c r="D12" s="2232"/>
      <c r="E12" s="2232"/>
      <c r="F12" s="1888"/>
      <c r="G12" s="1888"/>
      <c r="H12" s="1888"/>
      <c r="I12" s="1888"/>
      <c r="J12" s="1888"/>
      <c r="K12" s="1888"/>
      <c r="L12" s="2311"/>
      <c r="M12" s="1864" t="str">
        <f t="shared" si="0"/>
        <v>Resíduos de jardins e parques</v>
      </c>
      <c r="N12" s="2404">
        <f t="shared" si="0"/>
        <v>0</v>
      </c>
      <c r="O12" s="2320">
        <f t="shared" si="1"/>
        <v>0</v>
      </c>
      <c r="P12" s="2321">
        <f t="shared" si="2"/>
        <v>0</v>
      </c>
      <c r="Q12" s="2322">
        <f t="shared" si="3"/>
        <v>0</v>
      </c>
      <c r="R12" s="2316" t="str">
        <f t="shared" si="4"/>
        <v>Queima a céu aberto</v>
      </c>
      <c r="S12" s="1955"/>
      <c r="T12" s="1888"/>
    </row>
    <row r="13" spans="1:45" ht="18" customHeight="1" x14ac:dyDescent="0.25">
      <c r="A13" s="1888"/>
      <c r="B13" s="2239" t="s">
        <v>1112</v>
      </c>
      <c r="C13" s="2240">
        <f>+'CO2 - Cálculos'!AJ11</f>
        <v>832.19999999999993</v>
      </c>
      <c r="D13" s="2232"/>
      <c r="E13" s="2232"/>
      <c r="F13" s="1888"/>
      <c r="G13" s="1888"/>
      <c r="H13" s="1888"/>
      <c r="I13" s="1888"/>
      <c r="J13" s="1888"/>
      <c r="K13" s="1888"/>
      <c r="L13" s="2311"/>
      <c r="M13" s="1864" t="str">
        <f t="shared" si="0"/>
        <v>Papel, papelão</v>
      </c>
      <c r="N13" s="2404">
        <f t="shared" si="0"/>
        <v>6368.9580000000005</v>
      </c>
      <c r="O13" s="2320">
        <f t="shared" si="1"/>
        <v>0.4324546707245745</v>
      </c>
      <c r="P13" s="2321">
        <f t="shared" si="2"/>
        <v>0</v>
      </c>
      <c r="Q13" s="2322">
        <f t="shared" si="3"/>
        <v>0</v>
      </c>
      <c r="R13" s="2316" t="str">
        <f t="shared" si="4"/>
        <v>Lixão não controlado</v>
      </c>
      <c r="S13" s="1955"/>
      <c r="T13" s="1888"/>
    </row>
    <row r="14" spans="1:45" ht="18" customHeight="1" x14ac:dyDescent="0.25">
      <c r="A14" s="1888"/>
      <c r="B14" s="2239" t="s">
        <v>1113</v>
      </c>
      <c r="C14" s="2240">
        <f>+'CO2 - Cálculos'!AJ12</f>
        <v>0</v>
      </c>
      <c r="D14" s="2232"/>
      <c r="E14" s="2232"/>
      <c r="F14" s="1888"/>
      <c r="G14" s="1888"/>
      <c r="H14" s="1888"/>
      <c r="I14" s="1888"/>
      <c r="J14" s="1888"/>
      <c r="K14" s="1888"/>
      <c r="L14" s="2311"/>
      <c r="M14" s="1864" t="str">
        <f t="shared" si="0"/>
        <v>Plásticos</v>
      </c>
      <c r="N14" s="2404">
        <f t="shared" si="0"/>
        <v>4336.2</v>
      </c>
      <c r="O14" s="2320">
        <f t="shared" si="1"/>
        <v>0.29442962933589761</v>
      </c>
      <c r="P14" s="2321">
        <f t="shared" si="2"/>
        <v>0.15</v>
      </c>
      <c r="Q14" s="2322">
        <f t="shared" si="3"/>
        <v>19690.881299999997</v>
      </c>
      <c r="R14" s="2316" t="str">
        <f t="shared" si="4"/>
        <v>Aterro controlado</v>
      </c>
      <c r="S14" s="1955"/>
      <c r="T14" s="1888"/>
    </row>
    <row r="15" spans="1:45" ht="18" customHeight="1" x14ac:dyDescent="0.25">
      <c r="A15" s="1888"/>
      <c r="B15" s="2285"/>
      <c r="C15" s="2401"/>
      <c r="D15" s="2232"/>
      <c r="E15" s="2232"/>
      <c r="F15" s="1888"/>
      <c r="G15" s="1888"/>
      <c r="H15" s="1888"/>
      <c r="I15" s="1888"/>
      <c r="J15" s="1888"/>
      <c r="K15" s="1888"/>
      <c r="L15" s="2311"/>
      <c r="M15" s="1864" t="str">
        <f t="shared" si="0"/>
        <v>Vidros</v>
      </c>
      <c r="N15" s="2404">
        <f t="shared" si="0"/>
        <v>0</v>
      </c>
      <c r="O15" s="2320">
        <f t="shared" si="1"/>
        <v>0</v>
      </c>
      <c r="P15" s="2321">
        <f t="shared" si="2"/>
        <v>0</v>
      </c>
      <c r="Q15" s="2322">
        <f t="shared" si="3"/>
        <v>0</v>
      </c>
      <c r="R15" s="2316" t="str">
        <f t="shared" si="4"/>
        <v>Aterro sanitário</v>
      </c>
      <c r="S15" s="1955"/>
      <c r="T15" s="1888"/>
    </row>
    <row r="16" spans="1:45" ht="18" customHeight="1" x14ac:dyDescent="0.25">
      <c r="A16" s="1888"/>
      <c r="B16" s="2258" t="s">
        <v>1264</v>
      </c>
      <c r="C16" s="2231">
        <f>+'CO2 - Cálculos'!AI57</f>
        <v>131272.54199999999</v>
      </c>
      <c r="D16" s="2232"/>
      <c r="E16" s="2232"/>
      <c r="F16" s="1888"/>
      <c r="G16" s="1888"/>
      <c r="H16" s="1888"/>
      <c r="I16" s="1888"/>
      <c r="J16" s="1888"/>
      <c r="K16" s="1888"/>
      <c r="L16" s="2311"/>
      <c r="M16" s="1864" t="str">
        <f t="shared" si="0"/>
        <v>Metais ferrosos</v>
      </c>
      <c r="N16" s="2404">
        <f t="shared" si="0"/>
        <v>3190.1</v>
      </c>
      <c r="O16" s="2320">
        <f t="shared" si="1"/>
        <v>0.21660900340031525</v>
      </c>
      <c r="P16" s="2321">
        <f t="shared" si="2"/>
        <v>0</v>
      </c>
      <c r="Q16" s="2322">
        <f t="shared" si="3"/>
        <v>0</v>
      </c>
      <c r="R16" s="2316" t="str">
        <f t="shared" si="4"/>
        <v>Trat. biol + cobertura at.</v>
      </c>
      <c r="S16" s="1955"/>
      <c r="T16" s="1888"/>
    </row>
    <row r="17" spans="1:47" ht="18" customHeight="1" x14ac:dyDescent="0.25">
      <c r="A17" s="1888"/>
      <c r="B17" s="2402"/>
      <c r="C17" s="2238"/>
      <c r="D17" s="2232"/>
      <c r="E17" s="2232"/>
      <c r="F17" s="1888"/>
      <c r="G17" s="1888"/>
      <c r="H17" s="1888"/>
      <c r="I17" s="1888"/>
      <c r="J17" s="1888"/>
      <c r="K17" s="1888"/>
      <c r="L17" s="2311"/>
      <c r="M17" s="1864" t="str">
        <f t="shared" si="0"/>
        <v>Alumínio</v>
      </c>
      <c r="N17" s="2404">
        <f t="shared" si="0"/>
        <v>832.19999999999993</v>
      </c>
      <c r="O17" s="2320">
        <f t="shared" si="1"/>
        <v>5.650669653921267E-2</v>
      </c>
      <c r="P17" s="2321">
        <f t="shared" si="2"/>
        <v>0</v>
      </c>
      <c r="Q17" s="2322">
        <f t="shared" si="3"/>
        <v>0</v>
      </c>
      <c r="R17" s="2316" t="str">
        <f t="shared" si="4"/>
        <v>CDR seco + rejeito aterro</v>
      </c>
      <c r="S17" s="1955"/>
      <c r="T17" s="1888"/>
    </row>
    <row r="18" spans="1:47" ht="18" customHeight="1" x14ac:dyDescent="0.25">
      <c r="A18" s="1888"/>
      <c r="B18" s="2239" t="s">
        <v>1242</v>
      </c>
      <c r="C18" s="2240">
        <f>+'CO2 - Cálculos'!AJ47</f>
        <v>0</v>
      </c>
      <c r="D18" s="2232"/>
      <c r="E18" s="2232"/>
      <c r="F18" s="1888"/>
      <c r="G18" s="1888"/>
      <c r="H18" s="1888"/>
      <c r="I18" s="1888"/>
      <c r="J18" s="1888"/>
      <c r="K18" s="1888"/>
      <c r="L18" s="2311"/>
      <c r="M18" s="1864" t="str">
        <f t="shared" si="0"/>
        <v>Têxteis</v>
      </c>
      <c r="N18" s="2404">
        <f t="shared" si="0"/>
        <v>0</v>
      </c>
      <c r="O18" s="2320">
        <f t="shared" si="1"/>
        <v>0</v>
      </c>
      <c r="P18" s="2321">
        <f t="shared" si="2"/>
        <v>0</v>
      </c>
      <c r="Q18" s="2322">
        <f t="shared" si="3"/>
        <v>0</v>
      </c>
      <c r="R18" s="2316" t="str">
        <f t="shared" si="4"/>
        <v>CDR seco + trat. biol.</v>
      </c>
      <c r="S18" s="1955"/>
      <c r="T18" s="1888"/>
    </row>
    <row r="19" spans="1:47" ht="18" customHeight="1" x14ac:dyDescent="0.25">
      <c r="A19" s="1888"/>
      <c r="B19" s="2239" t="s">
        <v>1243</v>
      </c>
      <c r="C19" s="2240">
        <f>+'CO2 - Cálculos'!AJ48</f>
        <v>0</v>
      </c>
      <c r="D19" s="2232"/>
      <c r="E19" s="2232"/>
      <c r="F19" s="1888"/>
      <c r="G19" s="1888"/>
      <c r="H19" s="1888"/>
      <c r="I19" s="1888"/>
      <c r="J19" s="1888"/>
      <c r="K19" s="1888"/>
      <c r="L19" s="2311"/>
      <c r="M19" s="2311"/>
      <c r="N19" s="2371"/>
      <c r="O19" s="2323"/>
      <c r="P19" s="2321">
        <f t="shared" si="2"/>
        <v>0</v>
      </c>
      <c r="Q19" s="2322">
        <f t="shared" si="3"/>
        <v>0</v>
      </c>
      <c r="R19" s="2316" t="str">
        <f t="shared" si="4"/>
        <v>CDR seco + CDR org.</v>
      </c>
      <c r="S19" s="1955"/>
      <c r="T19" s="1888"/>
    </row>
    <row r="20" spans="1:47" ht="18" customHeight="1" x14ac:dyDescent="0.25">
      <c r="A20" s="1888"/>
      <c r="B20" s="2239" t="s">
        <v>1244</v>
      </c>
      <c r="C20" s="2240">
        <f>+'CO2 - Cálculos'!AJ49</f>
        <v>0</v>
      </c>
      <c r="D20" s="2232"/>
      <c r="E20" s="2232"/>
      <c r="F20" s="1888"/>
      <c r="G20" s="1888"/>
      <c r="H20" s="1888"/>
      <c r="I20" s="1888"/>
      <c r="J20" s="1888"/>
      <c r="K20" s="1888"/>
      <c r="L20" s="2311"/>
      <c r="M20" s="2311"/>
      <c r="N20" s="2311"/>
      <c r="O20" s="2311"/>
      <c r="P20" s="2321">
        <f>+Q20/$Q$9</f>
        <v>0.85</v>
      </c>
      <c r="Q20" s="2322">
        <f>+C27</f>
        <v>111581.66069999998</v>
      </c>
      <c r="R20" s="2316" t="str">
        <f>+B27</f>
        <v>Incineração</v>
      </c>
      <c r="S20" s="1955"/>
      <c r="T20" s="1888"/>
    </row>
    <row r="21" spans="1:47" ht="18" customHeight="1" x14ac:dyDescent="0.25">
      <c r="A21" s="1888"/>
      <c r="B21" s="2239" t="s">
        <v>1245</v>
      </c>
      <c r="C21" s="2240">
        <f>+'CO2 - Cálculos'!AJ50</f>
        <v>19690.881299999997</v>
      </c>
      <c r="D21" s="2232"/>
      <c r="E21" s="2232"/>
      <c r="F21" s="1888"/>
      <c r="G21" s="1888"/>
      <c r="H21" s="1888"/>
      <c r="I21" s="1888"/>
      <c r="J21" s="1888"/>
      <c r="K21" s="1888"/>
      <c r="L21" s="1888"/>
      <c r="M21" s="1888"/>
      <c r="N21" s="1888"/>
      <c r="O21" s="1888"/>
      <c r="P21" s="1888"/>
      <c r="Q21" s="2014"/>
      <c r="R21" s="1888"/>
      <c r="S21" s="1888"/>
      <c r="T21" s="1888"/>
    </row>
    <row r="22" spans="1:47" ht="18" customHeight="1" x14ac:dyDescent="0.25">
      <c r="A22" s="1888"/>
      <c r="B22" s="2261" t="s">
        <v>64</v>
      </c>
      <c r="C22" s="2240">
        <f>+'CO2 - Cálculos'!AJ51</f>
        <v>0</v>
      </c>
      <c r="D22" s="2232"/>
      <c r="E22" s="2232"/>
      <c r="F22" s="1888"/>
      <c r="G22" s="1888"/>
      <c r="H22" s="1888"/>
      <c r="I22" s="1888"/>
      <c r="J22" s="1888"/>
      <c r="K22" s="1888"/>
      <c r="L22" s="1888"/>
      <c r="M22" s="1888"/>
      <c r="N22" s="1888"/>
      <c r="O22" s="1888"/>
      <c r="P22" s="1888"/>
      <c r="Q22" s="2014"/>
      <c r="R22" s="1888"/>
      <c r="S22" s="1888"/>
      <c r="T22" s="1888"/>
    </row>
    <row r="23" spans="1:47" ht="18" customHeight="1" x14ac:dyDescent="0.25">
      <c r="A23" s="1888"/>
      <c r="B23" s="2262" t="s">
        <v>1246</v>
      </c>
      <c r="C23" s="2263">
        <f>+'CO2 - Cálculos'!AJ52</f>
        <v>0</v>
      </c>
      <c r="D23" s="2232"/>
      <c r="E23" s="2232"/>
      <c r="F23" s="1888"/>
      <c r="G23" s="1888"/>
      <c r="H23" s="1888"/>
      <c r="I23" s="1888"/>
      <c r="J23" s="1888"/>
      <c r="K23" s="1888"/>
      <c r="L23" s="1888"/>
      <c r="M23" s="1888"/>
      <c r="N23" s="1888"/>
      <c r="O23" s="1888"/>
      <c r="P23" s="1888"/>
      <c r="Q23" s="1888"/>
      <c r="R23" s="1888"/>
      <c r="S23" s="1888"/>
      <c r="T23" s="1888"/>
    </row>
    <row r="24" spans="1:47" ht="18" customHeight="1" x14ac:dyDescent="0.25">
      <c r="A24" s="1888"/>
      <c r="B24" s="2262" t="s">
        <v>1247</v>
      </c>
      <c r="C24" s="2240">
        <f>+'CO2 - Cálculos'!AJ53</f>
        <v>0</v>
      </c>
      <c r="D24" s="2232"/>
      <c r="E24" s="2232"/>
      <c r="F24" s="1888"/>
      <c r="G24" s="1888"/>
      <c r="H24" s="1888"/>
      <c r="I24" s="1888"/>
      <c r="J24" s="1888"/>
      <c r="K24" s="1888"/>
      <c r="L24" s="1888"/>
      <c r="M24" s="1888"/>
      <c r="N24" s="1888"/>
      <c r="O24" s="1888"/>
      <c r="P24" s="1888"/>
      <c r="Q24" s="1888"/>
      <c r="R24" s="1888"/>
      <c r="S24" s="1888"/>
      <c r="T24" s="1888"/>
    </row>
    <row r="25" spans="1:47" ht="18" customHeight="1" x14ac:dyDescent="0.25">
      <c r="A25" s="1888"/>
      <c r="B25" s="2262" t="s">
        <v>1248</v>
      </c>
      <c r="C25" s="2240">
        <f>+'CO2 - Cálculos'!AJ54</f>
        <v>0</v>
      </c>
      <c r="D25" s="2232"/>
      <c r="E25" s="2232"/>
      <c r="F25" s="1888"/>
      <c r="G25" s="1888"/>
      <c r="H25" s="1888"/>
      <c r="I25" s="1888"/>
      <c r="J25" s="1888"/>
      <c r="K25" s="1888"/>
      <c r="L25" s="1888"/>
      <c r="M25" s="1888"/>
      <c r="N25" s="1888"/>
      <c r="O25" s="1888"/>
      <c r="P25" s="1888"/>
      <c r="Q25" s="1888"/>
      <c r="R25" s="1888"/>
      <c r="S25" s="1888"/>
      <c r="T25" s="1888"/>
    </row>
    <row r="26" spans="1:47" ht="18" customHeight="1" x14ac:dyDescent="0.25">
      <c r="A26" s="1888"/>
      <c r="B26" s="2262" t="s">
        <v>1249</v>
      </c>
      <c r="C26" s="2240">
        <f>+'CO2 - Cálculos'!AJ55</f>
        <v>0</v>
      </c>
      <c r="D26" s="2232"/>
      <c r="E26" s="2232"/>
      <c r="F26" s="1888"/>
      <c r="G26" s="1888"/>
      <c r="H26" s="1888"/>
      <c r="I26" s="1888"/>
      <c r="J26" s="1888"/>
      <c r="K26" s="1888"/>
      <c r="L26" s="1888"/>
      <c r="M26" s="1888"/>
      <c r="N26" s="1888"/>
      <c r="O26" s="1888"/>
      <c r="P26" s="1888"/>
      <c r="Q26" s="1888"/>
      <c r="R26" s="1888"/>
      <c r="S26" s="1888"/>
      <c r="T26" s="1888"/>
    </row>
    <row r="27" spans="1:47" ht="18" customHeight="1" x14ac:dyDescent="0.25">
      <c r="A27" s="1888"/>
      <c r="B27" s="2239" t="s">
        <v>63</v>
      </c>
      <c r="C27" s="2240">
        <f>+'CO2 - Cálculos'!AJ56</f>
        <v>111581.66069999998</v>
      </c>
      <c r="D27" s="2232"/>
      <c r="E27" s="2232"/>
      <c r="F27" s="1888"/>
      <c r="G27" s="1888"/>
      <c r="H27" s="1888"/>
      <c r="I27" s="1888"/>
      <c r="J27" s="1888"/>
      <c r="K27" s="1888"/>
      <c r="L27" s="1888"/>
      <c r="M27" s="1888"/>
      <c r="N27" s="1888"/>
      <c r="O27" s="1888"/>
      <c r="P27" s="1888"/>
      <c r="Q27" s="1888"/>
      <c r="R27" s="1888"/>
      <c r="S27" s="1888"/>
      <c r="T27" s="1888"/>
    </row>
    <row r="28" spans="1:47"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47" s="2227" customFormat="1" ht="26.1" customHeight="1" x14ac:dyDescent="0.2">
      <c r="A29" s="2061" t="s">
        <v>1265</v>
      </c>
      <c r="B29" s="2405"/>
      <c r="C29" s="2406"/>
      <c r="D29" s="2406"/>
      <c r="E29" s="2406"/>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row>
    <row r="30" spans="1:47"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47" ht="18" customHeight="1" x14ac:dyDescent="0.25">
      <c r="A31" s="1888"/>
      <c r="B31" s="2149"/>
      <c r="C31" s="2330" t="s">
        <v>1251</v>
      </c>
      <c r="D31" s="2077" t="s">
        <v>1252</v>
      </c>
      <c r="E31" s="2077" t="s">
        <v>1253</v>
      </c>
      <c r="F31" s="1888"/>
      <c r="G31" s="1888"/>
      <c r="H31" s="2269"/>
      <c r="I31" s="1888"/>
      <c r="J31" s="1888"/>
      <c r="K31" s="1888"/>
      <c r="L31" s="1888"/>
      <c r="M31" s="1888"/>
      <c r="N31" s="1888"/>
      <c r="O31" s="1888"/>
      <c r="P31" s="1888"/>
      <c r="Q31" s="1888"/>
      <c r="R31" s="1888"/>
      <c r="S31" s="1888"/>
      <c r="T31" s="1888"/>
    </row>
    <row r="32" spans="1:47" ht="18" customHeight="1" x14ac:dyDescent="0.2">
      <c r="A32" s="1888"/>
      <c r="B32" s="2304" t="s">
        <v>1238</v>
      </c>
      <c r="C32" s="2309"/>
      <c r="D32" s="2377"/>
      <c r="E32" s="2377"/>
      <c r="F32" s="1888"/>
      <c r="G32" s="1888"/>
      <c r="H32" s="1888"/>
      <c r="I32" s="1888"/>
      <c r="J32" s="1888"/>
      <c r="K32" s="1888"/>
      <c r="L32" s="1888"/>
      <c r="M32" s="1888"/>
      <c r="N32" s="1888"/>
      <c r="O32" s="1888"/>
      <c r="P32" s="1888"/>
      <c r="Q32" s="1888"/>
      <c r="R32" s="1888"/>
      <c r="S32" s="1888"/>
      <c r="T32" s="1888"/>
    </row>
    <row r="33" spans="1:20" ht="18" customHeight="1" x14ac:dyDescent="0.2">
      <c r="A33" s="1888"/>
      <c r="B33" s="2378"/>
      <c r="C33" s="2377"/>
      <c r="D33" s="2377"/>
      <c r="E33" s="2377"/>
      <c r="F33" s="1888"/>
      <c r="G33" s="1888"/>
      <c r="H33" s="1888"/>
      <c r="I33" s="1888"/>
      <c r="J33" s="1888"/>
      <c r="K33" s="1888"/>
      <c r="L33" s="1888"/>
      <c r="M33" s="1888"/>
      <c r="N33" s="1888"/>
      <c r="O33" s="1888"/>
      <c r="P33" s="1888"/>
      <c r="Q33" s="1888"/>
      <c r="R33" s="1888"/>
      <c r="S33" s="1888"/>
      <c r="T33" s="1888"/>
    </row>
    <row r="34" spans="1:20" ht="18" customHeight="1" x14ac:dyDescent="0.2">
      <c r="A34" s="1888"/>
      <c r="B34" s="2224" t="str">
        <f>B7</f>
        <v>Resíduos de alimentos</v>
      </c>
      <c r="C34" s="2310">
        <f t="shared" ref="C34:C41" si="5">+C62</f>
        <v>0</v>
      </c>
      <c r="D34" s="2310">
        <f t="shared" ref="D34:D41" si="6">+C71</f>
        <v>0</v>
      </c>
      <c r="E34" s="2310">
        <f t="shared" ref="E34:E41" si="7">+D34+C34</f>
        <v>0</v>
      </c>
      <c r="F34" s="1888"/>
      <c r="G34" s="1888"/>
      <c r="H34" s="1888"/>
      <c r="I34" s="1888"/>
      <c r="J34" s="1888"/>
      <c r="K34" s="1888"/>
      <c r="L34" s="1888"/>
      <c r="M34" s="1888"/>
      <c r="N34" s="1888"/>
      <c r="O34" s="1888"/>
      <c r="P34" s="1888"/>
      <c r="Q34" s="1888"/>
      <c r="R34" s="1888"/>
      <c r="S34" s="1888"/>
      <c r="T34" s="1888"/>
    </row>
    <row r="35" spans="1:20" ht="18" customHeight="1" x14ac:dyDescent="0.2">
      <c r="A35" s="1888"/>
      <c r="B35" s="2224" t="str">
        <f t="shared" ref="B35:B41" si="8">B8</f>
        <v>Resíduos de jardins e parques</v>
      </c>
      <c r="C35" s="2310">
        <f t="shared" si="5"/>
        <v>0</v>
      </c>
      <c r="D35" s="2310">
        <f t="shared" si="6"/>
        <v>0</v>
      </c>
      <c r="E35" s="2310">
        <f t="shared" si="7"/>
        <v>0</v>
      </c>
      <c r="F35" s="1888"/>
      <c r="G35" s="1888"/>
      <c r="H35" s="1888"/>
      <c r="I35" s="1888"/>
      <c r="J35" s="1888"/>
      <c r="K35" s="1888"/>
      <c r="L35" s="1888"/>
      <c r="M35" s="1888"/>
      <c r="N35" s="1888"/>
      <c r="O35" s="1888"/>
      <c r="P35" s="1888"/>
      <c r="Q35" s="1888"/>
      <c r="R35" s="1888"/>
      <c r="S35" s="1888"/>
      <c r="T35" s="1888"/>
    </row>
    <row r="36" spans="1:20" ht="18" customHeight="1" x14ac:dyDescent="0.2">
      <c r="A36" s="1888"/>
      <c r="B36" s="2224" t="str">
        <f t="shared" si="8"/>
        <v>Papel, papelão</v>
      </c>
      <c r="C36" s="2310">
        <f t="shared" si="5"/>
        <v>7999.4112480000003</v>
      </c>
      <c r="D36" s="2310">
        <f t="shared" si="6"/>
        <v>-9859.1469840000009</v>
      </c>
      <c r="E36" s="2310">
        <f t="shared" si="7"/>
        <v>-1859.7357360000005</v>
      </c>
      <c r="F36" s="1888"/>
      <c r="G36" s="1888"/>
      <c r="H36" s="1888"/>
      <c r="I36" s="1888"/>
      <c r="J36" s="1888"/>
      <c r="K36" s="1888"/>
      <c r="L36" s="1888"/>
      <c r="M36" s="1888"/>
      <c r="N36" s="1888"/>
      <c r="O36" s="1888"/>
      <c r="P36" s="1888"/>
      <c r="Q36" s="1888"/>
      <c r="R36" s="1888"/>
      <c r="S36" s="1888"/>
      <c r="T36" s="1888"/>
    </row>
    <row r="37" spans="1:20" ht="18" customHeight="1" x14ac:dyDescent="0.2">
      <c r="A37" s="1888"/>
      <c r="B37" s="2224" t="str">
        <f t="shared" si="8"/>
        <v>Plásticos</v>
      </c>
      <c r="C37" s="2310">
        <f t="shared" si="5"/>
        <v>1777.8420000000001</v>
      </c>
      <c r="D37" s="2310">
        <f t="shared" si="6"/>
        <v>-8281.2747600000002</v>
      </c>
      <c r="E37" s="2310">
        <f t="shared" si="7"/>
        <v>-6503.4327599999997</v>
      </c>
      <c r="F37" s="1888"/>
      <c r="G37" s="1888"/>
      <c r="H37" s="1888"/>
      <c r="I37" s="1888"/>
      <c r="J37" s="1888"/>
      <c r="K37" s="1888"/>
      <c r="L37" s="1888"/>
      <c r="M37" s="1888"/>
      <c r="N37" s="1888"/>
      <c r="O37" s="1888"/>
      <c r="P37" s="1888"/>
      <c r="Q37" s="1888"/>
      <c r="R37" s="1888"/>
      <c r="S37" s="1888"/>
      <c r="T37" s="1888"/>
    </row>
    <row r="38" spans="1:20" ht="18" customHeight="1" x14ac:dyDescent="0.2">
      <c r="A38" s="1888"/>
      <c r="B38" s="2224" t="str">
        <f t="shared" si="8"/>
        <v>Vidros</v>
      </c>
      <c r="C38" s="2310">
        <f t="shared" si="5"/>
        <v>0</v>
      </c>
      <c r="D38" s="2310">
        <f t="shared" si="6"/>
        <v>0</v>
      </c>
      <c r="E38" s="2310">
        <f t="shared" si="7"/>
        <v>0</v>
      </c>
      <c r="F38" s="1888"/>
      <c r="G38" s="1888"/>
      <c r="H38" s="1888"/>
      <c r="I38" s="1888"/>
      <c r="J38" s="1888"/>
      <c r="K38" s="1888"/>
      <c r="L38" s="1888"/>
      <c r="M38" s="1888"/>
      <c r="N38" s="1888"/>
      <c r="O38" s="1888"/>
      <c r="P38" s="1888"/>
      <c r="Q38" s="1888"/>
      <c r="R38" s="1888"/>
      <c r="S38" s="1888"/>
      <c r="T38" s="1888"/>
    </row>
    <row r="39" spans="1:20" ht="18" customHeight="1" x14ac:dyDescent="0.2">
      <c r="A39" s="1888"/>
      <c r="B39" s="2224" t="str">
        <f t="shared" si="8"/>
        <v>Metais ferrosos</v>
      </c>
      <c r="C39" s="2310">
        <f t="shared" si="5"/>
        <v>204.16639999999998</v>
      </c>
      <c r="D39" s="2310">
        <f t="shared" si="6"/>
        <v>-5461.4512000000004</v>
      </c>
      <c r="E39" s="2310">
        <f t="shared" si="7"/>
        <v>-5257.2848000000004</v>
      </c>
      <c r="F39" s="1888"/>
      <c r="G39" s="1888"/>
      <c r="H39" s="1888"/>
      <c r="I39" s="1888"/>
      <c r="J39" s="1888"/>
      <c r="K39" s="1888"/>
      <c r="L39" s="1888"/>
      <c r="M39" s="1888"/>
      <c r="N39" s="1888"/>
      <c r="O39" s="1888"/>
      <c r="P39" s="1888"/>
      <c r="Q39" s="1888"/>
      <c r="R39" s="1888"/>
      <c r="S39" s="1888"/>
      <c r="T39" s="1888"/>
    </row>
    <row r="40" spans="1:20" ht="18" customHeight="1" x14ac:dyDescent="0.2">
      <c r="A40" s="1888"/>
      <c r="B40" s="2224" t="str">
        <f t="shared" si="8"/>
        <v>Alumínio</v>
      </c>
      <c r="C40" s="2310">
        <f t="shared" si="5"/>
        <v>580.04339999999991</v>
      </c>
      <c r="D40" s="2310">
        <f t="shared" si="6"/>
        <v>-8222.1359999999986</v>
      </c>
      <c r="E40" s="2310">
        <f t="shared" si="7"/>
        <v>-7642.092599999999</v>
      </c>
      <c r="F40" s="1888"/>
      <c r="G40" s="1888"/>
      <c r="H40" s="1888"/>
      <c r="I40" s="1888"/>
      <c r="J40" s="1888"/>
      <c r="K40" s="1888"/>
      <c r="L40" s="1888"/>
      <c r="M40" s="1888"/>
      <c r="N40" s="1888"/>
      <c r="O40" s="1888"/>
      <c r="P40" s="1888"/>
      <c r="Q40" s="1888"/>
      <c r="R40" s="1888"/>
      <c r="S40" s="1888"/>
      <c r="T40" s="1888"/>
    </row>
    <row r="41" spans="1:20" ht="18" customHeight="1" x14ac:dyDescent="0.2">
      <c r="A41" s="1888"/>
      <c r="B41" s="2224" t="str">
        <f t="shared" si="8"/>
        <v>Têxteis</v>
      </c>
      <c r="C41" s="2310">
        <f t="shared" si="5"/>
        <v>0</v>
      </c>
      <c r="D41" s="2310">
        <f t="shared" si="6"/>
        <v>0</v>
      </c>
      <c r="E41" s="2310">
        <f t="shared" si="7"/>
        <v>0</v>
      </c>
      <c r="F41" s="1888"/>
      <c r="G41" s="1888"/>
      <c r="H41" s="1888"/>
      <c r="I41" s="1888"/>
      <c r="J41" s="1888"/>
      <c r="K41" s="1888"/>
      <c r="L41" s="1888"/>
      <c r="M41" s="1888"/>
      <c r="N41" s="1888"/>
      <c r="O41" s="1888"/>
      <c r="P41" s="1888"/>
      <c r="Q41" s="1888"/>
      <c r="R41" s="1888"/>
      <c r="S41" s="1888"/>
      <c r="T41" s="1888"/>
    </row>
    <row r="42" spans="1:20" ht="18" customHeight="1" x14ac:dyDescent="0.2">
      <c r="A42" s="1888"/>
      <c r="B42" s="1906"/>
      <c r="C42" s="2306"/>
      <c r="D42" s="2306"/>
      <c r="E42" s="2306"/>
      <c r="F42" s="1888"/>
      <c r="G42" s="1888"/>
      <c r="H42" s="1888"/>
      <c r="I42" s="1888"/>
      <c r="J42" s="1888"/>
      <c r="K42" s="1888"/>
      <c r="L42" s="1888"/>
      <c r="M42" s="1888"/>
      <c r="N42" s="1888"/>
      <c r="O42" s="1888"/>
      <c r="P42" s="1888"/>
      <c r="Q42" s="1888"/>
      <c r="R42" s="1888"/>
      <c r="S42" s="1888"/>
      <c r="T42" s="1888"/>
    </row>
    <row r="43" spans="1:20" ht="18" customHeight="1" x14ac:dyDescent="0.2">
      <c r="A43" s="1888"/>
      <c r="B43" s="1977" t="s">
        <v>1266</v>
      </c>
      <c r="C43" s="2309"/>
      <c r="D43" s="2309"/>
      <c r="E43" s="2309"/>
      <c r="F43" s="1888"/>
      <c r="G43" s="1888"/>
      <c r="H43" s="1888"/>
      <c r="I43" s="1888"/>
      <c r="J43" s="1888"/>
      <c r="K43" s="1888"/>
      <c r="L43" s="1888"/>
      <c r="M43" s="1888"/>
      <c r="N43" s="1888"/>
      <c r="O43" s="1888"/>
      <c r="P43" s="1888"/>
      <c r="Q43" s="1888"/>
      <c r="R43" s="1888"/>
      <c r="S43" s="1888"/>
      <c r="T43" s="1888"/>
    </row>
    <row r="44" spans="1:20" ht="18" customHeight="1" x14ac:dyDescent="0.2">
      <c r="A44" s="1888"/>
      <c r="B44" s="2378"/>
      <c r="C44" s="2309"/>
      <c r="D44" s="2309"/>
      <c r="E44" s="2309"/>
      <c r="F44" s="1888"/>
      <c r="G44" s="1888"/>
      <c r="H44" s="1888"/>
      <c r="I44" s="1888"/>
      <c r="J44" s="1888"/>
      <c r="K44" s="1888"/>
      <c r="L44" s="1888"/>
      <c r="M44" s="1888"/>
      <c r="N44" s="1888"/>
      <c r="O44" s="1888"/>
      <c r="P44" s="1888"/>
      <c r="Q44" s="1888"/>
      <c r="R44" s="1888"/>
      <c r="S44" s="1888"/>
      <c r="T44" s="1888"/>
    </row>
    <row r="45" spans="1:20" ht="18" customHeight="1" x14ac:dyDescent="0.2">
      <c r="A45" s="1888"/>
      <c r="B45" s="2224" t="str">
        <f>B18</f>
        <v>Resíduos dispersos</v>
      </c>
      <c r="C45" s="2310">
        <f t="shared" ref="C45:C53" si="9">+L62</f>
        <v>0</v>
      </c>
      <c r="D45" s="2310">
        <f t="shared" ref="D45:D54" si="10">+L73</f>
        <v>0</v>
      </c>
      <c r="E45" s="2310">
        <f t="shared" ref="E45:E53" si="11">+D45+C45</f>
        <v>0</v>
      </c>
      <c r="F45" s="1888"/>
      <c r="G45" s="1888"/>
      <c r="H45" s="1888"/>
      <c r="I45" s="1888"/>
      <c r="J45" s="1888"/>
      <c r="K45" s="1888"/>
      <c r="L45" s="1888"/>
      <c r="M45" s="1888"/>
      <c r="N45" s="1888"/>
      <c r="O45" s="1888"/>
      <c r="P45" s="1888"/>
      <c r="Q45" s="1888"/>
      <c r="R45" s="1888"/>
      <c r="S45" s="1888"/>
      <c r="T45" s="1888"/>
    </row>
    <row r="46" spans="1:20" ht="18" customHeight="1" x14ac:dyDescent="0.2">
      <c r="A46" s="1888"/>
      <c r="B46" s="2224" t="str">
        <f t="shared" ref="B46:B54" si="12">B19</f>
        <v>Queima a céu aberto</v>
      </c>
      <c r="C46" s="2310">
        <f t="shared" si="9"/>
        <v>0</v>
      </c>
      <c r="D46" s="2310">
        <f t="shared" si="10"/>
        <v>0</v>
      </c>
      <c r="E46" s="2310">
        <f t="shared" si="11"/>
        <v>0</v>
      </c>
      <c r="F46" s="1888"/>
      <c r="G46" s="1888"/>
      <c r="H46" s="1888"/>
      <c r="I46" s="1888"/>
      <c r="J46" s="1888"/>
      <c r="K46" s="1888"/>
      <c r="L46" s="1888"/>
      <c r="M46" s="1888"/>
      <c r="N46" s="1888"/>
      <c r="O46" s="1888"/>
      <c r="P46" s="1888"/>
      <c r="Q46" s="1888"/>
      <c r="R46" s="1888"/>
      <c r="S46" s="1888"/>
      <c r="T46" s="1888"/>
    </row>
    <row r="47" spans="1:20" ht="18" customHeight="1" x14ac:dyDescent="0.2">
      <c r="A47" s="1888"/>
      <c r="B47" s="2224" t="str">
        <f t="shared" si="12"/>
        <v>Lixão não controlado</v>
      </c>
      <c r="C47" s="2310">
        <f t="shared" si="9"/>
        <v>0</v>
      </c>
      <c r="D47" s="2310">
        <f t="shared" si="10"/>
        <v>0</v>
      </c>
      <c r="E47" s="2310">
        <f t="shared" si="11"/>
        <v>0</v>
      </c>
      <c r="F47" s="1888"/>
      <c r="G47" s="1888"/>
      <c r="H47" s="1888"/>
      <c r="I47" s="1888"/>
      <c r="J47" s="1888"/>
      <c r="K47" s="1888"/>
      <c r="L47" s="1888"/>
      <c r="M47" s="1888"/>
      <c r="N47" s="1888"/>
      <c r="O47" s="1888"/>
      <c r="P47" s="1888"/>
      <c r="Q47" s="1888"/>
      <c r="R47" s="1888"/>
      <c r="S47" s="1888"/>
      <c r="T47" s="1888"/>
    </row>
    <row r="48" spans="1:20" ht="18" customHeight="1" x14ac:dyDescent="0.2">
      <c r="A48" s="1888"/>
      <c r="B48" s="2224" t="str">
        <f t="shared" si="12"/>
        <v>Aterro controlado</v>
      </c>
      <c r="C48" s="2310">
        <f t="shared" si="9"/>
        <v>26461.27246280506</v>
      </c>
      <c r="D48" s="2310">
        <f t="shared" si="10"/>
        <v>0</v>
      </c>
      <c r="E48" s="2310">
        <f t="shared" si="11"/>
        <v>26461.27246280506</v>
      </c>
      <c r="F48" s="1888"/>
      <c r="G48" s="1888"/>
      <c r="H48" s="1888"/>
      <c r="I48" s="1888"/>
      <c r="J48" s="1888"/>
      <c r="K48" s="1888"/>
      <c r="L48" s="1888"/>
      <c r="M48" s="1888"/>
      <c r="N48" s="1888"/>
      <c r="O48" s="1888"/>
      <c r="P48" s="1888"/>
      <c r="Q48" s="1888"/>
      <c r="R48" s="1888"/>
      <c r="S48" s="1888"/>
      <c r="T48" s="1888"/>
    </row>
    <row r="49" spans="1:20" ht="18" customHeight="1" x14ac:dyDescent="0.2">
      <c r="A49" s="1888"/>
      <c r="B49" s="2224" t="str">
        <f t="shared" si="12"/>
        <v>Aterro sanitário</v>
      </c>
      <c r="C49" s="2310">
        <f t="shared" si="9"/>
        <v>0</v>
      </c>
      <c r="D49" s="2310">
        <f t="shared" si="10"/>
        <v>0</v>
      </c>
      <c r="E49" s="2310">
        <f t="shared" si="11"/>
        <v>0</v>
      </c>
      <c r="F49" s="1888"/>
      <c r="G49" s="1888"/>
      <c r="H49" s="1888"/>
      <c r="I49" s="1888"/>
      <c r="J49" s="1888"/>
      <c r="K49" s="1888"/>
      <c r="L49" s="1888"/>
      <c r="M49" s="1888"/>
      <c r="N49" s="1888"/>
      <c r="O49" s="1888"/>
      <c r="P49" s="1888"/>
      <c r="Q49" s="1888"/>
      <c r="R49" s="1888"/>
      <c r="S49" s="1888"/>
      <c r="T49" s="1888"/>
    </row>
    <row r="50" spans="1:20" ht="18" customHeight="1" x14ac:dyDescent="0.2">
      <c r="A50" s="1888"/>
      <c r="B50" s="2224" t="str">
        <f t="shared" si="12"/>
        <v>Trat. biol + cobertura at.</v>
      </c>
      <c r="C50" s="2310">
        <f t="shared" si="9"/>
        <v>0</v>
      </c>
      <c r="D50" s="2310">
        <f t="shared" si="10"/>
        <v>0</v>
      </c>
      <c r="E50" s="2310">
        <f t="shared" si="11"/>
        <v>0</v>
      </c>
      <c r="F50" s="1888"/>
      <c r="G50" s="1888"/>
      <c r="H50" s="1888"/>
      <c r="I50" s="1888"/>
      <c r="J50" s="1888"/>
      <c r="K50" s="1888"/>
      <c r="L50" s="1888"/>
      <c r="M50" s="1888"/>
      <c r="N50" s="1888"/>
      <c r="O50" s="1888"/>
      <c r="P50" s="1888"/>
      <c r="Q50" s="1888"/>
      <c r="R50" s="1888"/>
      <c r="S50" s="1888"/>
      <c r="T50" s="1888"/>
    </row>
    <row r="51" spans="1:20" ht="18" customHeight="1" x14ac:dyDescent="0.2">
      <c r="A51" s="1888"/>
      <c r="B51" s="2224" t="str">
        <f t="shared" si="12"/>
        <v>CDR seco + rejeito aterro</v>
      </c>
      <c r="C51" s="2310">
        <f t="shared" si="9"/>
        <v>0</v>
      </c>
      <c r="D51" s="2310">
        <f t="shared" si="10"/>
        <v>0</v>
      </c>
      <c r="E51" s="2310">
        <f t="shared" si="11"/>
        <v>0</v>
      </c>
      <c r="F51" s="1888"/>
      <c r="G51" s="2279"/>
      <c r="H51" s="2280"/>
      <c r="I51" s="2280"/>
      <c r="J51" s="2280"/>
      <c r="K51" s="1888"/>
      <c r="L51" s="1888"/>
      <c r="M51" s="1888"/>
      <c r="N51" s="1888"/>
      <c r="O51" s="1888"/>
      <c r="P51" s="1888"/>
      <c r="Q51" s="1888"/>
      <c r="R51" s="1888"/>
      <c r="S51" s="1888"/>
      <c r="T51" s="1888"/>
    </row>
    <row r="52" spans="1:20" ht="18" customHeight="1" x14ac:dyDescent="0.2">
      <c r="A52" s="1888"/>
      <c r="B52" s="2224" t="str">
        <f t="shared" si="12"/>
        <v>CDR seco + trat. biol.</v>
      </c>
      <c r="C52" s="2310">
        <f t="shared" si="9"/>
        <v>0</v>
      </c>
      <c r="D52" s="2310">
        <f t="shared" si="10"/>
        <v>0</v>
      </c>
      <c r="E52" s="2310">
        <f t="shared" si="11"/>
        <v>0</v>
      </c>
      <c r="F52" s="1888"/>
      <c r="G52" s="2384"/>
      <c r="H52" s="2268" t="s">
        <v>1254</v>
      </c>
      <c r="I52" s="2268" t="s">
        <v>1269</v>
      </c>
      <c r="J52" s="2268" t="s">
        <v>1255</v>
      </c>
      <c r="K52" s="1888"/>
      <c r="L52" s="1888"/>
      <c r="M52" s="1888"/>
      <c r="N52" s="1888"/>
      <c r="O52" s="1888"/>
      <c r="P52" s="1888"/>
      <c r="Q52" s="1888"/>
      <c r="R52" s="1888"/>
      <c r="S52" s="1888"/>
      <c r="T52" s="1888"/>
    </row>
    <row r="53" spans="1:20" ht="18" customHeight="1" x14ac:dyDescent="0.2">
      <c r="A53" s="1888"/>
      <c r="B53" s="2224" t="str">
        <f t="shared" si="12"/>
        <v>CDR seco + CDR org.</v>
      </c>
      <c r="C53" s="2310">
        <f t="shared" si="9"/>
        <v>0</v>
      </c>
      <c r="D53" s="2310">
        <f t="shared" si="10"/>
        <v>0</v>
      </c>
      <c r="E53" s="2310">
        <f t="shared" si="11"/>
        <v>0</v>
      </c>
      <c r="F53" s="1888"/>
      <c r="G53" s="1965" t="s">
        <v>1256</v>
      </c>
      <c r="H53" s="2297">
        <f>SUM(C34:C41)</f>
        <v>10561.463048000001</v>
      </c>
      <c r="I53" s="2297">
        <f>SUM(C45:C54)</f>
        <v>65989.517947731059</v>
      </c>
      <c r="J53" s="2297">
        <f>+I53+H53</f>
        <v>76550.980995731064</v>
      </c>
      <c r="K53" s="1888"/>
      <c r="L53" s="1888"/>
      <c r="M53" s="1888"/>
      <c r="N53" s="1888"/>
      <c r="O53" s="1888"/>
      <c r="P53" s="1888"/>
      <c r="Q53" s="1888"/>
      <c r="R53" s="1888"/>
      <c r="S53" s="1888"/>
      <c r="T53" s="1888"/>
    </row>
    <row r="54" spans="1:20" ht="18" customHeight="1" x14ac:dyDescent="0.2">
      <c r="A54" s="1888"/>
      <c r="B54" s="2224" t="str">
        <f t="shared" si="12"/>
        <v>Incineração</v>
      </c>
      <c r="C54" s="2310">
        <f>+L71</f>
        <v>39528.245484926003</v>
      </c>
      <c r="D54" s="2310">
        <f t="shared" si="10"/>
        <v>-2810.5079200893747</v>
      </c>
      <c r="E54" s="2310">
        <f>+D54+C54</f>
        <v>36717.737564836629</v>
      </c>
      <c r="F54" s="1888"/>
      <c r="G54" s="1965" t="s">
        <v>1257</v>
      </c>
      <c r="H54" s="2297">
        <f>SUM(D34:D41)</f>
        <v>-31824.008943999997</v>
      </c>
      <c r="I54" s="2297">
        <f>SUM(D45:D54)</f>
        <v>-2810.5079200893747</v>
      </c>
      <c r="J54" s="2297">
        <f>+I54+H54</f>
        <v>-34634.516864089375</v>
      </c>
      <c r="K54" s="1888"/>
      <c r="L54" s="1888"/>
      <c r="M54" s="1888"/>
      <c r="N54" s="1888"/>
      <c r="O54" s="1888"/>
      <c r="P54" s="1888"/>
      <c r="Q54" s="1888"/>
      <c r="R54" s="1888"/>
      <c r="S54" s="1888"/>
      <c r="T54" s="1888"/>
    </row>
    <row r="55" spans="1:20" ht="18" customHeight="1" x14ac:dyDescent="0.2">
      <c r="A55" s="1888"/>
      <c r="B55" s="1906"/>
      <c r="C55" s="2306"/>
      <c r="D55" s="2306"/>
      <c r="E55" s="2306"/>
      <c r="F55" s="1888"/>
      <c r="G55" s="1965" t="s">
        <v>1258</v>
      </c>
      <c r="H55" s="2297">
        <f>+H53+H54</f>
        <v>-21262.545895999996</v>
      </c>
      <c r="I55" s="2297">
        <f>+I53+I54</f>
        <v>63179.010027641685</v>
      </c>
      <c r="J55" s="2297">
        <f>+I55+H55</f>
        <v>41916.464131641689</v>
      </c>
      <c r="K55" s="1888"/>
      <c r="L55" s="1888"/>
      <c r="M55" s="1888"/>
      <c r="N55" s="1888"/>
      <c r="O55" s="1888"/>
      <c r="P55" s="1888"/>
      <c r="Q55" s="1888"/>
      <c r="R55" s="1888"/>
      <c r="S55" s="1888"/>
      <c r="T55" s="1888"/>
    </row>
    <row r="56" spans="1:20" ht="18" customHeight="1" x14ac:dyDescent="0.2">
      <c r="A56" s="1888"/>
      <c r="B56" s="1977" t="s">
        <v>52</v>
      </c>
      <c r="C56" s="2330">
        <f>SUM(C34:C54)</f>
        <v>76550.980995731064</v>
      </c>
      <c r="D56" s="2330">
        <f>SUM(D34:D54)</f>
        <v>-34634.516864089375</v>
      </c>
      <c r="E56" s="2330">
        <f>+D56+C56</f>
        <v>41916.464131641689</v>
      </c>
      <c r="F56" s="1888"/>
      <c r="G56" s="2279"/>
      <c r="H56" s="2288"/>
      <c r="I56" s="2288"/>
      <c r="J56" s="2288"/>
      <c r="K56" s="1888"/>
      <c r="L56" s="1888"/>
      <c r="M56" s="1888"/>
      <c r="N56" s="1888"/>
      <c r="O56" s="1888"/>
      <c r="P56" s="1888"/>
      <c r="Q56" s="1888"/>
      <c r="R56" s="1888"/>
      <c r="S56" s="1888"/>
      <c r="T56" s="1888"/>
    </row>
    <row r="57" spans="1:20"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0"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0" s="2227" customFormat="1" ht="26.1" customHeight="1" x14ac:dyDescent="0.2">
      <c r="A59" s="2289" t="s">
        <v>1259</v>
      </c>
      <c r="B59" s="1983"/>
      <c r="C59" s="2328"/>
      <c r="D59" s="2328"/>
      <c r="E59" s="2328"/>
      <c r="F59" s="2226"/>
      <c r="G59" s="1983"/>
      <c r="H59" s="1983"/>
      <c r="I59" s="1983"/>
      <c r="J59" s="1983"/>
      <c r="K59" s="1910" t="s">
        <v>1260</v>
      </c>
      <c r="L59" s="1983"/>
      <c r="M59" s="1983"/>
      <c r="N59" s="1983"/>
      <c r="O59" s="1983"/>
      <c r="P59" s="1983"/>
      <c r="Q59" s="1983"/>
      <c r="R59" s="1983"/>
      <c r="S59" s="1983"/>
      <c r="T59" s="1983"/>
    </row>
    <row r="60" spans="1:20"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0" ht="18" customHeight="1" x14ac:dyDescent="0.2">
      <c r="A61" s="1888"/>
      <c r="B61" s="2407"/>
      <c r="C61" s="2304" t="s">
        <v>1238</v>
      </c>
      <c r="D61" s="2077" t="s">
        <v>1258</v>
      </c>
      <c r="E61" s="1888"/>
      <c r="F61" s="1888"/>
      <c r="G61" s="1888"/>
      <c r="H61" s="1888"/>
      <c r="I61" s="1888"/>
      <c r="J61" s="2408"/>
      <c r="K61" s="2409"/>
      <c r="L61" s="2077" t="s">
        <v>1266</v>
      </c>
      <c r="M61" s="2077" t="s">
        <v>1258</v>
      </c>
      <c r="N61" s="1888"/>
      <c r="O61" s="1888"/>
      <c r="P61" s="1888"/>
      <c r="Q61" s="1888"/>
      <c r="R61" s="1888"/>
      <c r="S61" s="1888"/>
      <c r="T61" s="1888"/>
    </row>
    <row r="62" spans="1:20" ht="18" customHeight="1" x14ac:dyDescent="0.2">
      <c r="A62" s="1888"/>
      <c r="B62" s="2301" t="str">
        <f>+'CO2 - Cálculos'!AC16</f>
        <v>Resíduos de alimentos</v>
      </c>
      <c r="C62" s="2310">
        <f>+'CO2 - Cálculos'!AJ16</f>
        <v>0</v>
      </c>
      <c r="D62" s="2377"/>
      <c r="E62" s="1888"/>
      <c r="F62" s="1888"/>
      <c r="G62" s="1888"/>
      <c r="H62" s="1888"/>
      <c r="I62" s="1888"/>
      <c r="J62" s="2408"/>
      <c r="K62" s="2410" t="str">
        <f>+'CO2 - Cálculos'!AC61</f>
        <v>Resíduos dispersos</v>
      </c>
      <c r="L62" s="2411">
        <f>+'CO2 - Cálculos'!AJ61</f>
        <v>0</v>
      </c>
      <c r="M62" s="2378"/>
      <c r="N62" s="1888"/>
      <c r="O62" s="1888"/>
      <c r="P62" s="1888"/>
      <c r="Q62" s="1888"/>
      <c r="R62" s="1888"/>
      <c r="S62" s="1888"/>
      <c r="T62" s="1888"/>
    </row>
    <row r="63" spans="1:20" ht="18" customHeight="1" x14ac:dyDescent="0.2">
      <c r="A63" s="1888"/>
      <c r="B63" s="2301" t="str">
        <f>+'CO2 - Cálculos'!AC17</f>
        <v>Resíduos de jardins e parques</v>
      </c>
      <c r="C63" s="2310">
        <f>+'CO2 - Cálculos'!AJ17</f>
        <v>0</v>
      </c>
      <c r="D63" s="2377"/>
      <c r="E63" s="1888"/>
      <c r="F63" s="1888"/>
      <c r="G63" s="1888"/>
      <c r="H63" s="1888"/>
      <c r="I63" s="1888"/>
      <c r="J63" s="2408"/>
      <c r="K63" s="2410" t="str">
        <f>+'CO2 - Cálculos'!AC62</f>
        <v>Queima a céu aberto</v>
      </c>
      <c r="L63" s="2411">
        <f>+'CO2 - Cálculos'!AJ62</f>
        <v>0</v>
      </c>
      <c r="M63" s="2378"/>
      <c r="N63" s="1888"/>
      <c r="O63" s="1888"/>
      <c r="P63" s="1888"/>
      <c r="Q63" s="1888"/>
      <c r="R63" s="1888"/>
      <c r="S63" s="1888"/>
      <c r="T63" s="1888"/>
    </row>
    <row r="64" spans="1:20" ht="18" customHeight="1" x14ac:dyDescent="0.2">
      <c r="A64" s="1888"/>
      <c r="B64" s="2301" t="str">
        <f>+'CO2 - Cálculos'!AC18</f>
        <v>Papel, papelão</v>
      </c>
      <c r="C64" s="2310">
        <f>+'CO2 - Cálculos'!AJ18</f>
        <v>7999.4112480000003</v>
      </c>
      <c r="D64" s="2377"/>
      <c r="E64" s="1888"/>
      <c r="F64" s="1888"/>
      <c r="G64" s="1888"/>
      <c r="H64" s="1888"/>
      <c r="I64" s="1888"/>
      <c r="J64" s="2408"/>
      <c r="K64" s="2410" t="str">
        <f>+'CO2 - Cálculos'!AC63</f>
        <v>Lixão não controlado</v>
      </c>
      <c r="L64" s="2411">
        <f>+'CO2 - Cálculos'!AJ63</f>
        <v>0</v>
      </c>
      <c r="M64" s="2378"/>
      <c r="N64" s="1888"/>
      <c r="O64" s="1888"/>
      <c r="P64" s="1888"/>
      <c r="Q64" s="1888"/>
      <c r="R64" s="1888"/>
      <c r="S64" s="1888"/>
      <c r="T64" s="1888"/>
    </row>
    <row r="65" spans="1:20" ht="18" customHeight="1" x14ac:dyDescent="0.2">
      <c r="A65" s="1888"/>
      <c r="B65" s="2301" t="str">
        <f>+'CO2 - Cálculos'!AC19</f>
        <v>Plásticos</v>
      </c>
      <c r="C65" s="2310">
        <f>+'CO2 - Cálculos'!AJ19</f>
        <v>1777.8420000000001</v>
      </c>
      <c r="D65" s="2377"/>
      <c r="E65" s="1888"/>
      <c r="F65" s="1888"/>
      <c r="G65" s="1888"/>
      <c r="H65" s="1888"/>
      <c r="I65" s="1888"/>
      <c r="J65" s="2408"/>
      <c r="K65" s="2410" t="str">
        <f>+'CO2 - Cálculos'!AC64</f>
        <v>Aterro controlado</v>
      </c>
      <c r="L65" s="2411">
        <f>+'CO2 - Cálculos'!AJ64</f>
        <v>26461.27246280506</v>
      </c>
      <c r="M65" s="2378"/>
      <c r="N65" s="1888"/>
      <c r="O65" s="1888"/>
      <c r="P65" s="1888"/>
      <c r="Q65" s="1888"/>
      <c r="R65" s="1888"/>
      <c r="S65" s="1888"/>
      <c r="T65" s="1888"/>
    </row>
    <row r="66" spans="1:20" ht="18" customHeight="1" x14ac:dyDescent="0.2">
      <c r="A66" s="1888"/>
      <c r="B66" s="2301" t="str">
        <f>+'CO2 - Cálculos'!AC20</f>
        <v>Vidros</v>
      </c>
      <c r="C66" s="2310">
        <f>+'CO2 - Cálculos'!AJ20</f>
        <v>0</v>
      </c>
      <c r="D66" s="2377"/>
      <c r="E66" s="1888"/>
      <c r="F66" s="1888"/>
      <c r="G66" s="1888"/>
      <c r="H66" s="1888"/>
      <c r="I66" s="1888"/>
      <c r="J66" s="2408"/>
      <c r="K66" s="2410" t="str">
        <f>+'CO2 - Cálculos'!AC65</f>
        <v>Aterro sanitário</v>
      </c>
      <c r="L66" s="2411">
        <f>+'CO2 - Cálculos'!AJ65</f>
        <v>0</v>
      </c>
      <c r="M66" s="2378"/>
      <c r="N66" s="1888"/>
      <c r="O66" s="1888"/>
      <c r="P66" s="1888"/>
      <c r="Q66" s="1888"/>
      <c r="R66" s="1888"/>
      <c r="S66" s="1888"/>
      <c r="T66" s="1888"/>
    </row>
    <row r="67" spans="1:20" ht="18" customHeight="1" x14ac:dyDescent="0.2">
      <c r="A67" s="1888"/>
      <c r="B67" s="2301" t="str">
        <f>+'CO2 - Cálculos'!AC21</f>
        <v>Metais ferrosos</v>
      </c>
      <c r="C67" s="2310">
        <f>+'CO2 - Cálculos'!AJ21</f>
        <v>204.16639999999998</v>
      </c>
      <c r="D67" s="2377"/>
      <c r="E67" s="1888"/>
      <c r="F67" s="1888"/>
      <c r="G67" s="1888"/>
      <c r="H67" s="1888"/>
      <c r="I67" s="1888"/>
      <c r="J67" s="2412"/>
      <c r="K67" s="2410" t="str">
        <f>+'CO2 - Cálculos'!AC66</f>
        <v>Trat. biol + cobertura at.</v>
      </c>
      <c r="L67" s="2411">
        <f>+'CO2 - Cálculos'!AJ66</f>
        <v>0</v>
      </c>
      <c r="M67" s="2378"/>
      <c r="N67" s="1888"/>
      <c r="O67" s="1888"/>
      <c r="P67" s="1888"/>
      <c r="Q67" s="1888"/>
      <c r="R67" s="1888"/>
      <c r="S67" s="1888"/>
      <c r="T67" s="1888"/>
    </row>
    <row r="68" spans="1:20" ht="18" customHeight="1" x14ac:dyDescent="0.2">
      <c r="A68" s="1888"/>
      <c r="B68" s="2301" t="str">
        <f>+'CO2 - Cálculos'!AC22</f>
        <v>Alumínio</v>
      </c>
      <c r="C68" s="2310">
        <f>+'CO2 - Cálculos'!AJ22</f>
        <v>580.04339999999991</v>
      </c>
      <c r="D68" s="2377"/>
      <c r="E68" s="1888"/>
      <c r="F68" s="1888"/>
      <c r="G68" s="1888"/>
      <c r="H68" s="1888"/>
      <c r="I68" s="1888"/>
      <c r="J68" s="2412"/>
      <c r="K68" s="2410" t="str">
        <f>+'CO2 - Cálculos'!AC67</f>
        <v>CDR seco + rejeito aterro</v>
      </c>
      <c r="L68" s="2411">
        <f>+'CO2 - Cálculos'!AJ67</f>
        <v>0</v>
      </c>
      <c r="M68" s="2378"/>
      <c r="N68" s="1888"/>
      <c r="O68" s="1888"/>
      <c r="P68" s="1888"/>
      <c r="Q68" s="1888"/>
      <c r="R68" s="1888"/>
      <c r="S68" s="1888"/>
      <c r="T68" s="1888"/>
    </row>
    <row r="69" spans="1:20" ht="18" customHeight="1" x14ac:dyDescent="0.2">
      <c r="A69" s="2232"/>
      <c r="B69" s="2301" t="str">
        <f>+'CO2 - Cálculos'!AC23</f>
        <v>Têxteis</v>
      </c>
      <c r="C69" s="2310">
        <f>+'CO2 - Cálculos'!AJ23</f>
        <v>0</v>
      </c>
      <c r="D69" s="2377"/>
      <c r="E69" s="1888"/>
      <c r="F69" s="1888"/>
      <c r="G69" s="1888"/>
      <c r="H69" s="1888"/>
      <c r="I69" s="1888"/>
      <c r="J69" s="2412"/>
      <c r="K69" s="2410" t="str">
        <f>+'CO2 - Cálculos'!AC68</f>
        <v>CDR seco + trat. biol.</v>
      </c>
      <c r="L69" s="2411">
        <f>+'CO2 - Cálculos'!AJ68</f>
        <v>0</v>
      </c>
      <c r="M69" s="2378"/>
      <c r="N69" s="1888"/>
      <c r="O69" s="1888"/>
      <c r="P69" s="1888"/>
      <c r="Q69" s="1888"/>
      <c r="R69" s="1888"/>
      <c r="S69" s="1888"/>
      <c r="T69" s="1888"/>
    </row>
    <row r="70" spans="1:20" ht="18" customHeight="1" x14ac:dyDescent="0.2">
      <c r="A70" s="1888"/>
      <c r="B70" s="2363" t="s">
        <v>1256</v>
      </c>
      <c r="C70" s="2377"/>
      <c r="D70" s="2309"/>
      <c r="E70" s="1888"/>
      <c r="F70" s="1888"/>
      <c r="G70" s="1888"/>
      <c r="H70" s="1888"/>
      <c r="I70" s="1888"/>
      <c r="J70" s="2408"/>
      <c r="K70" s="2410" t="str">
        <f>+'CO2 - Cálculos'!AC69</f>
        <v>CDR seco + CDR org.</v>
      </c>
      <c r="L70" s="2411">
        <f>+'CO2 - Cálculos'!AJ69</f>
        <v>0</v>
      </c>
      <c r="M70" s="2378"/>
      <c r="N70" s="1888"/>
      <c r="O70" s="1888"/>
      <c r="P70" s="1888"/>
      <c r="Q70" s="1888"/>
      <c r="R70" s="1888"/>
      <c r="S70" s="1888"/>
      <c r="T70" s="1888"/>
    </row>
    <row r="71" spans="1:20" ht="18" customHeight="1" x14ac:dyDescent="0.2">
      <c r="A71" s="1888"/>
      <c r="B71" s="2298" t="str">
        <f>+'CO2 - Cálculos'!AC25</f>
        <v>Resíduos de alimentos</v>
      </c>
      <c r="C71" s="2310">
        <f>+'CO2 - Cálculos'!AJ25</f>
        <v>0</v>
      </c>
      <c r="D71" s="2377"/>
      <c r="E71" s="1888"/>
      <c r="F71" s="1888"/>
      <c r="G71" s="1888"/>
      <c r="H71" s="1888"/>
      <c r="I71" s="1888"/>
      <c r="J71" s="2408"/>
      <c r="K71" s="2410" t="str">
        <f>+'CO2 - Cálculos'!AC70</f>
        <v>Incineração</v>
      </c>
      <c r="L71" s="2411">
        <f>+'CO2 - Cálculos'!AJ70</f>
        <v>39528.245484926003</v>
      </c>
      <c r="M71" s="2378"/>
      <c r="N71" s="1888"/>
      <c r="O71" s="1888"/>
      <c r="P71" s="1888"/>
      <c r="Q71" s="1888"/>
      <c r="R71" s="1888"/>
      <c r="S71" s="1888"/>
      <c r="T71" s="1888"/>
    </row>
    <row r="72" spans="1:20" ht="18" customHeight="1" x14ac:dyDescent="0.2">
      <c r="A72" s="1888"/>
      <c r="B72" s="2298" t="str">
        <f>+'CO2 - Cálculos'!AC26</f>
        <v>Resíduos de jardins e parques</v>
      </c>
      <c r="C72" s="2310">
        <f>+'CO2 - Cálculos'!AJ26</f>
        <v>0</v>
      </c>
      <c r="D72" s="2377"/>
      <c r="E72" s="1888"/>
      <c r="F72" s="1888"/>
      <c r="G72" s="1888"/>
      <c r="H72" s="1888"/>
      <c r="I72" s="1888"/>
      <c r="J72" s="2408"/>
      <c r="K72" s="2413" t="s">
        <v>1256</v>
      </c>
      <c r="L72" s="2378"/>
      <c r="M72" s="2378"/>
      <c r="N72" s="1888"/>
      <c r="O72" s="1888"/>
      <c r="P72" s="1888"/>
      <c r="Q72" s="1888"/>
      <c r="R72" s="1888"/>
      <c r="S72" s="1888"/>
      <c r="T72" s="1888"/>
    </row>
    <row r="73" spans="1:20" ht="18" customHeight="1" x14ac:dyDescent="0.2">
      <c r="A73" s="1888"/>
      <c r="B73" s="2298" t="str">
        <f>+'CO2 - Cálculos'!AC27</f>
        <v>Papel, papelão</v>
      </c>
      <c r="C73" s="2310">
        <f>+'CO2 - Cálculos'!AJ27</f>
        <v>-9859.1469840000009</v>
      </c>
      <c r="D73" s="2377"/>
      <c r="E73" s="1888"/>
      <c r="F73" s="1888"/>
      <c r="G73" s="1888"/>
      <c r="H73" s="1888"/>
      <c r="I73" s="1888"/>
      <c r="J73" s="2408"/>
      <c r="K73" s="2410" t="str">
        <f>+'CO2 - Cálculos'!AC72</f>
        <v>Resíduos dispersos</v>
      </c>
      <c r="L73" s="2414">
        <f>+'CO2 - Cálculos'!AJ72</f>
        <v>0</v>
      </c>
      <c r="M73" s="2378"/>
      <c r="N73" s="1888"/>
      <c r="O73" s="1888"/>
      <c r="P73" s="1888"/>
      <c r="Q73" s="1888"/>
      <c r="R73" s="1888"/>
      <c r="S73" s="1888"/>
      <c r="T73" s="1888"/>
    </row>
    <row r="74" spans="1:20" ht="18" customHeight="1" x14ac:dyDescent="0.2">
      <c r="A74" s="1888"/>
      <c r="B74" s="2298" t="str">
        <f>+'CO2 - Cálculos'!AC28</f>
        <v>Plásticos</v>
      </c>
      <c r="C74" s="2310">
        <f>+'CO2 - Cálculos'!AJ28</f>
        <v>-8281.2747600000002</v>
      </c>
      <c r="D74" s="2377"/>
      <c r="E74" s="1888"/>
      <c r="F74" s="1888"/>
      <c r="G74" s="1888"/>
      <c r="H74" s="1888"/>
      <c r="I74" s="1888"/>
      <c r="J74" s="2408"/>
      <c r="K74" s="2410" t="str">
        <f>+'CO2 - Cálculos'!AC73</f>
        <v>Queima a céu aberto</v>
      </c>
      <c r="L74" s="2414">
        <f>+'CO2 - Cálculos'!AJ73</f>
        <v>0</v>
      </c>
      <c r="M74" s="2378"/>
      <c r="N74" s="1888"/>
      <c r="O74" s="1888"/>
      <c r="P74" s="1888"/>
      <c r="Q74" s="1888"/>
      <c r="R74" s="1888"/>
      <c r="S74" s="1888"/>
      <c r="T74" s="1888"/>
    </row>
    <row r="75" spans="1:20" ht="18" customHeight="1" x14ac:dyDescent="0.2">
      <c r="A75" s="1888"/>
      <c r="B75" s="2298" t="str">
        <f>+'CO2 - Cálculos'!AC29</f>
        <v>Vidros</v>
      </c>
      <c r="C75" s="2310">
        <f>+'CO2 - Cálculos'!AJ29</f>
        <v>0</v>
      </c>
      <c r="D75" s="2377"/>
      <c r="E75" s="1888"/>
      <c r="F75" s="1888"/>
      <c r="G75" s="1888"/>
      <c r="H75" s="1888"/>
      <c r="I75" s="1888"/>
      <c r="J75" s="2408"/>
      <c r="K75" s="2410" t="str">
        <f>+'CO2 - Cálculos'!AC74</f>
        <v>Lixão não controlado</v>
      </c>
      <c r="L75" s="2414">
        <f>+'CO2 - Cálculos'!AJ74</f>
        <v>0</v>
      </c>
      <c r="M75" s="2378"/>
      <c r="N75" s="1888"/>
      <c r="O75" s="1888"/>
      <c r="P75" s="1888"/>
      <c r="Q75" s="1888"/>
      <c r="R75" s="1888"/>
      <c r="S75" s="1888"/>
      <c r="T75" s="1888"/>
    </row>
    <row r="76" spans="1:20" ht="18" customHeight="1" x14ac:dyDescent="0.2">
      <c r="A76" s="1888"/>
      <c r="B76" s="2298" t="str">
        <f>+'CO2 - Cálculos'!AC30</f>
        <v>Metais ferrosos</v>
      </c>
      <c r="C76" s="2310">
        <f>+'CO2 - Cálculos'!AJ30</f>
        <v>-5461.4512000000004</v>
      </c>
      <c r="D76" s="2377"/>
      <c r="E76" s="1888"/>
      <c r="F76" s="1888"/>
      <c r="G76" s="1888"/>
      <c r="H76" s="1888"/>
      <c r="I76" s="1888"/>
      <c r="J76" s="2408"/>
      <c r="K76" s="2410" t="str">
        <f>+'CO2 - Cálculos'!AC75</f>
        <v>Aterro controlado</v>
      </c>
      <c r="L76" s="2414">
        <f>+'CO2 - Cálculos'!AJ75</f>
        <v>0</v>
      </c>
      <c r="M76" s="2378"/>
      <c r="N76" s="1888"/>
      <c r="O76" s="1888"/>
      <c r="P76" s="1888"/>
      <c r="Q76" s="1888"/>
      <c r="R76" s="1888"/>
      <c r="S76" s="1888"/>
      <c r="T76" s="1888"/>
    </row>
    <row r="77" spans="1:20" ht="18" customHeight="1" x14ac:dyDescent="0.2">
      <c r="A77" s="1888"/>
      <c r="B77" s="2298" t="str">
        <f>+'CO2 - Cálculos'!AC31</f>
        <v>Alumínio</v>
      </c>
      <c r="C77" s="2310">
        <f>+'CO2 - Cálculos'!AJ31</f>
        <v>-8222.1359999999986</v>
      </c>
      <c r="D77" s="2377"/>
      <c r="E77" s="1888"/>
      <c r="F77" s="1888"/>
      <c r="G77" s="1888"/>
      <c r="H77" s="1888"/>
      <c r="I77" s="1888"/>
      <c r="J77" s="2412"/>
      <c r="K77" s="2410" t="str">
        <f>+'CO2 - Cálculos'!AC76</f>
        <v>Aterro sanitário</v>
      </c>
      <c r="L77" s="2414">
        <f>+'CO2 - Cálculos'!AJ76</f>
        <v>0</v>
      </c>
      <c r="M77" s="2378"/>
      <c r="N77" s="1888"/>
      <c r="O77" s="1888"/>
      <c r="P77" s="1888"/>
      <c r="Q77" s="1888"/>
      <c r="R77" s="1888"/>
      <c r="S77" s="1888"/>
      <c r="T77" s="1888"/>
    </row>
    <row r="78" spans="1:20" ht="18" customHeight="1" x14ac:dyDescent="0.2">
      <c r="A78" s="1888"/>
      <c r="B78" s="2298" t="str">
        <f>+'CO2 - Cálculos'!AC32</f>
        <v>Têxteis</v>
      </c>
      <c r="C78" s="2310">
        <f>+'CO2 - Cálculos'!AJ32</f>
        <v>0</v>
      </c>
      <c r="D78" s="2377"/>
      <c r="E78" s="1888"/>
      <c r="F78" s="1888"/>
      <c r="G78" s="1888"/>
      <c r="H78" s="1888"/>
      <c r="I78" s="1888"/>
      <c r="J78" s="2412"/>
      <c r="K78" s="2410" t="str">
        <f>+'CO2 - Cálculos'!AC77</f>
        <v>Trat. biol + cobertura at.</v>
      </c>
      <c r="L78" s="2414">
        <f>+'CO2 - Cálculos'!AJ77</f>
        <v>0</v>
      </c>
      <c r="M78" s="2378"/>
      <c r="N78" s="1888"/>
      <c r="O78" s="1888"/>
      <c r="P78" s="1888"/>
      <c r="Q78" s="1888"/>
      <c r="R78" s="1888"/>
      <c r="S78" s="1888"/>
      <c r="T78" s="1888"/>
    </row>
    <row r="79" spans="1:20" ht="18" customHeight="1" x14ac:dyDescent="0.2">
      <c r="A79" s="1888"/>
      <c r="B79" s="2363" t="s">
        <v>1257</v>
      </c>
      <c r="C79" s="2377"/>
      <c r="D79" s="2309"/>
      <c r="E79" s="1888"/>
      <c r="F79" s="1888"/>
      <c r="G79" s="1888"/>
      <c r="H79" s="1888"/>
      <c r="I79" s="1888"/>
      <c r="J79" s="2412"/>
      <c r="K79" s="2410" t="str">
        <f>+'CO2 - Cálculos'!AC78</f>
        <v>CDR seco + rejeito aterro</v>
      </c>
      <c r="L79" s="2414">
        <f>+'CO2 - Cálculos'!AJ78</f>
        <v>0</v>
      </c>
      <c r="M79" s="2378"/>
      <c r="N79" s="1888"/>
      <c r="O79" s="1888"/>
      <c r="P79" s="1888"/>
      <c r="Q79" s="1888"/>
      <c r="R79" s="1888"/>
      <c r="S79" s="1888"/>
      <c r="T79" s="1888"/>
    </row>
    <row r="80" spans="1:20" ht="18" customHeight="1" x14ac:dyDescent="0.2">
      <c r="A80" s="1888"/>
      <c r="B80" s="2363" t="s">
        <v>1258</v>
      </c>
      <c r="C80" s="2377"/>
      <c r="D80" s="2310">
        <f>SUM(C62:C69,C71:C78)</f>
        <v>-21262.545896</v>
      </c>
      <c r="E80" s="1888"/>
      <c r="F80" s="1888"/>
      <c r="G80" s="1888"/>
      <c r="H80" s="1888"/>
      <c r="I80" s="1888"/>
      <c r="J80" s="2408"/>
      <c r="K80" s="2410" t="str">
        <f>+'CO2 - Cálculos'!AC79</f>
        <v>CDR seco + trat. biol.</v>
      </c>
      <c r="L80" s="2414">
        <f>+'CO2 - Cálculos'!AJ79</f>
        <v>0</v>
      </c>
      <c r="M80" s="2378"/>
      <c r="N80" s="1888"/>
      <c r="O80" s="1888"/>
      <c r="P80" s="1888"/>
      <c r="Q80" s="1888"/>
      <c r="R80" s="1888"/>
      <c r="S80" s="1888"/>
      <c r="T80" s="1888"/>
    </row>
    <row r="81" spans="1:20" ht="18" customHeight="1" x14ac:dyDescent="0.2">
      <c r="A81" s="1888"/>
      <c r="B81" s="1888"/>
      <c r="C81" s="1888"/>
      <c r="D81" s="1888"/>
      <c r="E81" s="1888"/>
      <c r="F81" s="1888"/>
      <c r="G81" s="1888"/>
      <c r="H81" s="1888"/>
      <c r="I81" s="1888"/>
      <c r="J81" s="2408"/>
      <c r="K81" s="2410" t="str">
        <f>+'CO2 - Cálculos'!AC80</f>
        <v>CDR seco + CDR org.</v>
      </c>
      <c r="L81" s="2414">
        <f>+'CO2 - Cálculos'!AJ80</f>
        <v>0</v>
      </c>
      <c r="M81" s="2378"/>
      <c r="N81" s="1888"/>
      <c r="O81" s="1888"/>
      <c r="P81" s="1888"/>
      <c r="Q81" s="1888"/>
      <c r="R81" s="1888"/>
      <c r="S81" s="1888"/>
      <c r="T81" s="1888"/>
    </row>
    <row r="82" spans="1:20" ht="18" customHeight="1" x14ac:dyDescent="0.2">
      <c r="A82" s="1888"/>
      <c r="B82" s="1888"/>
      <c r="C82" s="1888"/>
      <c r="D82" s="1888"/>
      <c r="E82" s="2265"/>
      <c r="F82" s="1888"/>
      <c r="G82" s="1888"/>
      <c r="H82" s="1888"/>
      <c r="I82" s="1888"/>
      <c r="J82" s="2408"/>
      <c r="K82" s="2410" t="str">
        <f>+'CO2 - Cálculos'!AC81</f>
        <v>Incineração</v>
      </c>
      <c r="L82" s="2414">
        <f>+'CO2 - Cálculos'!AJ81</f>
        <v>-2810.5079200893747</v>
      </c>
      <c r="M82" s="2378"/>
      <c r="N82" s="1888"/>
      <c r="O82" s="1888"/>
      <c r="P82" s="1888"/>
      <c r="Q82" s="1888"/>
      <c r="R82" s="1888"/>
      <c r="S82" s="1888"/>
      <c r="T82" s="1888"/>
    </row>
    <row r="83" spans="1:20" ht="18" customHeight="1" x14ac:dyDescent="0.2">
      <c r="A83" s="1888"/>
      <c r="B83" s="1888"/>
      <c r="C83" s="1888"/>
      <c r="D83" s="1888"/>
      <c r="E83" s="2265"/>
      <c r="F83" s="1888"/>
      <c r="G83" s="1888"/>
      <c r="H83" s="1888"/>
      <c r="I83" s="1888"/>
      <c r="J83" s="2408"/>
      <c r="K83" s="2413" t="s">
        <v>1257</v>
      </c>
      <c r="L83" s="2378"/>
      <c r="M83" s="2378"/>
      <c r="N83" s="1888"/>
      <c r="O83" s="1888"/>
      <c r="P83" s="1888"/>
      <c r="Q83" s="1888"/>
      <c r="R83" s="1888"/>
      <c r="S83" s="1888"/>
      <c r="T83" s="1888"/>
    </row>
    <row r="84" spans="1:20" ht="18" customHeight="1" x14ac:dyDescent="0.2">
      <c r="A84" s="1888"/>
      <c r="B84" s="1888"/>
      <c r="C84" s="1888"/>
      <c r="D84" s="1888"/>
      <c r="E84" s="2265"/>
      <c r="F84" s="1888"/>
      <c r="G84" s="1888"/>
      <c r="H84" s="1888"/>
      <c r="I84" s="1888"/>
      <c r="J84" s="2408"/>
      <c r="K84" s="2413" t="s">
        <v>1258</v>
      </c>
      <c r="L84" s="2378"/>
      <c r="M84" s="2415">
        <f>SUM(L62:L71,L73:L82)</f>
        <v>63179.010027641685</v>
      </c>
      <c r="N84" s="1888"/>
      <c r="O84" s="1888"/>
      <c r="P84" s="1888"/>
      <c r="Q84" s="1888"/>
      <c r="R84" s="1888"/>
      <c r="S84" s="1888"/>
      <c r="T84" s="1888"/>
    </row>
    <row r="85" spans="1:20" ht="18" customHeight="1"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FD501-537D-46CE-BC4F-E8F6AF8B6BAD}">
  <dimension ref="A1:AU120"/>
  <sheetViews>
    <sheetView zoomScale="78" zoomScaleNormal="78"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140625" style="1844" customWidth="1"/>
    <col min="4" max="4" width="15.42578125" style="1844" bestFit="1" customWidth="1"/>
    <col min="5" max="5" width="16.42578125" style="1844" customWidth="1"/>
    <col min="6" max="7" width="11.42578125" style="1844"/>
    <col min="8" max="8" width="14.85546875" style="1844" bestFit="1" customWidth="1"/>
    <col min="9" max="9" width="18.5703125" style="1844" bestFit="1" customWidth="1"/>
    <col min="10" max="10" width="16.42578125" style="1844" customWidth="1"/>
    <col min="11" max="11" width="15.42578125" style="1844" customWidth="1"/>
    <col min="12" max="12" width="19.42578125" style="1844" bestFit="1" customWidth="1"/>
    <col min="13" max="13" width="11" style="1844" customWidth="1"/>
    <col min="14" max="14" width="11.85546875" style="1844" customWidth="1"/>
    <col min="15" max="16384" width="11.42578125" style="1844"/>
  </cols>
  <sheetData>
    <row r="1" spans="1:45" s="2227" customFormat="1" ht="26.1" customHeight="1" x14ac:dyDescent="0.2">
      <c r="A1" s="2289" t="s">
        <v>1268</v>
      </c>
      <c r="B1" s="2398"/>
      <c r="C1" s="2398"/>
      <c r="D1" s="2398"/>
      <c r="E1" s="2398"/>
      <c r="F1" s="2028"/>
      <c r="G1" s="2028"/>
      <c r="H1" s="2028"/>
      <c r="I1" s="2028"/>
      <c r="J1" s="2028"/>
      <c r="K1" s="2028"/>
      <c r="L1" s="2028"/>
      <c r="M1" s="2028"/>
      <c r="N1" s="2028"/>
      <c r="O1" s="2028"/>
      <c r="P1" s="2028"/>
      <c r="Q1" s="2028"/>
      <c r="R1" s="2028"/>
      <c r="S1" s="2028"/>
      <c r="T1" s="2028"/>
      <c r="U1" s="1843"/>
      <c r="V1" s="1843"/>
      <c r="W1" s="1843"/>
      <c r="X1" s="1843"/>
      <c r="Y1" s="1843"/>
      <c r="Z1" s="1843"/>
      <c r="AA1" s="1843"/>
      <c r="AB1" s="1843"/>
      <c r="AC1" s="1843"/>
      <c r="AD1" s="1843"/>
      <c r="AE1" s="1843"/>
      <c r="AF1" s="1843"/>
      <c r="AG1" s="1843"/>
      <c r="AH1" s="1843"/>
      <c r="AI1" s="1843"/>
      <c r="AJ1" s="1843"/>
      <c r="AK1" s="1843"/>
      <c r="AL1" s="1843"/>
      <c r="AM1" s="1843"/>
      <c r="AN1" s="1843"/>
      <c r="AO1" s="1843"/>
      <c r="AP1" s="1843"/>
      <c r="AQ1" s="1843"/>
      <c r="AR1" s="1843"/>
      <c r="AS1" s="1843"/>
    </row>
    <row r="2" spans="1:45" ht="14.25" customHeight="1" x14ac:dyDescent="0.25">
      <c r="A2" s="2399"/>
      <c r="B2" s="2400"/>
      <c r="C2" s="1888"/>
      <c r="D2" s="1888"/>
      <c r="E2" s="1888"/>
      <c r="F2" s="1888"/>
      <c r="G2" s="1888"/>
      <c r="H2" s="1888"/>
      <c r="I2" s="1888"/>
      <c r="J2" s="1888"/>
      <c r="K2" s="1888"/>
      <c r="L2" s="1888"/>
      <c r="M2" s="1888"/>
      <c r="N2" s="1888"/>
      <c r="O2" s="1888"/>
      <c r="P2" s="1888"/>
      <c r="Q2" s="1888"/>
      <c r="R2" s="1888"/>
      <c r="S2" s="1888"/>
      <c r="T2" s="1888"/>
    </row>
    <row r="3" spans="1:45" ht="18" customHeight="1" x14ac:dyDescent="0.25">
      <c r="A3" s="1888"/>
      <c r="B3" s="2230" t="s">
        <v>1237</v>
      </c>
      <c r="C3" s="2231">
        <f>+'CO2 - Cálculos'!AI58</f>
        <v>146000</v>
      </c>
      <c r="D3" s="2232"/>
      <c r="E3" s="2232"/>
      <c r="F3" s="1888"/>
      <c r="G3" s="1888"/>
      <c r="H3" s="1888"/>
      <c r="I3" s="1888"/>
      <c r="J3" s="1888"/>
      <c r="K3" s="1888"/>
      <c r="L3" s="1888"/>
      <c r="M3" s="1888"/>
      <c r="N3" s="1888"/>
      <c r="O3" s="1888"/>
      <c r="P3" s="1888"/>
      <c r="Q3" s="1888"/>
      <c r="R3" s="1888"/>
      <c r="S3" s="1888"/>
      <c r="T3" s="1888"/>
    </row>
    <row r="4" spans="1:45" ht="18" customHeight="1" x14ac:dyDescent="0.25">
      <c r="A4" s="1888"/>
      <c r="B4" s="2285"/>
      <c r="C4" s="2401"/>
      <c r="D4" s="2235"/>
      <c r="E4" s="2235"/>
      <c r="F4" s="1888"/>
      <c r="G4" s="1888"/>
      <c r="H4" s="1888"/>
      <c r="I4" s="1888"/>
      <c r="J4" s="1888"/>
      <c r="K4" s="1888"/>
      <c r="L4" s="1888"/>
      <c r="M4" s="2307"/>
      <c r="N4" s="2307"/>
      <c r="O4" s="2307"/>
      <c r="P4" s="2307"/>
      <c r="Q4" s="2307"/>
      <c r="R4" s="2307"/>
      <c r="S4" s="1888"/>
      <c r="T4" s="1888"/>
    </row>
    <row r="5" spans="1:45" ht="18" customHeight="1" x14ac:dyDescent="0.25">
      <c r="A5" s="1888"/>
      <c r="B5" s="2230" t="s">
        <v>1238</v>
      </c>
      <c r="C5" s="2231">
        <f>+'CO2 - Cálculos'!AI13</f>
        <v>14727.458000000001</v>
      </c>
      <c r="D5" s="2232"/>
      <c r="E5" s="2232"/>
      <c r="F5" s="1888"/>
      <c r="G5" s="1888"/>
      <c r="H5" s="1888"/>
      <c r="I5" s="1888"/>
      <c r="J5" s="1888"/>
      <c r="K5" s="1888"/>
      <c r="L5" s="1888"/>
      <c r="M5" s="2307"/>
      <c r="N5" s="2307"/>
      <c r="O5" s="2971" t="s">
        <v>1263</v>
      </c>
      <c r="P5" s="2972"/>
      <c r="Q5" s="2307"/>
      <c r="R5" s="2307"/>
      <c r="S5" s="1888"/>
      <c r="T5" s="1888"/>
    </row>
    <row r="6" spans="1:45" ht="18" customHeight="1" x14ac:dyDescent="0.25">
      <c r="A6" s="1888"/>
      <c r="B6" s="2402"/>
      <c r="C6" s="2238"/>
      <c r="D6" s="2232"/>
      <c r="E6" s="2232"/>
      <c r="F6" s="1888"/>
      <c r="G6" s="1888"/>
      <c r="H6" s="1888"/>
      <c r="I6" s="1888"/>
      <c r="J6" s="1888"/>
      <c r="K6" s="1888"/>
      <c r="L6" s="1888"/>
      <c r="M6" s="2307"/>
      <c r="N6" s="2307"/>
      <c r="O6" s="2973">
        <f>+C3</f>
        <v>146000</v>
      </c>
      <c r="P6" s="2974"/>
      <c r="Q6" s="2307"/>
      <c r="R6" s="2307"/>
      <c r="S6" s="1888"/>
      <c r="T6" s="1888"/>
    </row>
    <row r="7" spans="1:45" ht="18" customHeight="1" x14ac:dyDescent="0.25">
      <c r="A7" s="1888"/>
      <c r="B7" s="2239" t="s">
        <v>1107</v>
      </c>
      <c r="C7" s="2240">
        <f>+'CO2 - Cálculos'!AJ5</f>
        <v>0</v>
      </c>
      <c r="D7" s="2232"/>
      <c r="E7" s="2232"/>
      <c r="F7" s="1888"/>
      <c r="G7" s="1888"/>
      <c r="H7" s="1888"/>
      <c r="I7" s="1888"/>
      <c r="J7" s="1888"/>
      <c r="K7" s="1888"/>
      <c r="L7" s="1888"/>
      <c r="M7" s="2403"/>
      <c r="N7" s="2307"/>
      <c r="O7" s="2307"/>
      <c r="P7" s="2307"/>
      <c r="Q7" s="2307"/>
      <c r="R7" s="2307"/>
      <c r="S7" s="1888"/>
      <c r="T7" s="1888"/>
    </row>
    <row r="8" spans="1:45" ht="18" customHeight="1" x14ac:dyDescent="0.25">
      <c r="A8" s="1888"/>
      <c r="B8" s="2239" t="s">
        <v>1108</v>
      </c>
      <c r="C8" s="2240">
        <f>+'CO2 - Cálculos'!AJ6</f>
        <v>0</v>
      </c>
      <c r="D8" s="2232"/>
      <c r="E8" s="2232"/>
      <c r="F8" s="1888"/>
      <c r="G8" s="1888"/>
      <c r="H8" s="1888"/>
      <c r="I8" s="1888"/>
      <c r="J8" s="1888"/>
      <c r="K8" s="1888"/>
      <c r="L8" s="1888"/>
      <c r="M8" s="2307"/>
      <c r="N8" s="2307"/>
      <c r="O8" s="2307"/>
      <c r="P8" s="2307"/>
      <c r="Q8" s="2307"/>
      <c r="R8" s="2307"/>
      <c r="S8" s="1888"/>
      <c r="T8" s="1888"/>
    </row>
    <row r="9" spans="1:45" ht="18" customHeight="1" x14ac:dyDescent="0.25">
      <c r="A9" s="1888"/>
      <c r="B9" s="2239" t="s">
        <v>1109</v>
      </c>
      <c r="C9" s="2240">
        <f>+'CO2 - Cálculos'!AJ7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955"/>
      <c r="T9" s="1888"/>
    </row>
    <row r="10" spans="1:45" ht="18" customHeight="1" x14ac:dyDescent="0.25">
      <c r="A10" s="1888"/>
      <c r="B10" s="2239" t="s">
        <v>1110</v>
      </c>
      <c r="C10" s="2240">
        <f>+'CO2 - Cálculos'!AJ8</f>
        <v>4336.2</v>
      </c>
      <c r="D10" s="2232"/>
      <c r="E10" s="2232"/>
      <c r="F10" s="1888"/>
      <c r="G10" s="1888"/>
      <c r="H10" s="1888"/>
      <c r="I10" s="1888"/>
      <c r="J10" s="1888"/>
      <c r="K10" s="1888"/>
      <c r="L10" s="2311"/>
      <c r="M10" s="2317"/>
      <c r="N10" s="2318"/>
      <c r="O10" s="2311"/>
      <c r="P10" s="2311"/>
      <c r="Q10" s="2318"/>
      <c r="R10" s="2317"/>
      <c r="S10" s="1955"/>
      <c r="T10" s="1888"/>
    </row>
    <row r="11" spans="1:45" ht="18" customHeight="1" x14ac:dyDescent="0.25">
      <c r="A11" s="1888"/>
      <c r="B11" s="2239" t="s">
        <v>50</v>
      </c>
      <c r="C11" s="2240">
        <f>+'CO2 - Cálculos'!AJ9</f>
        <v>0</v>
      </c>
      <c r="D11" s="2232"/>
      <c r="E11" s="2232"/>
      <c r="F11" s="1888"/>
      <c r="G11" s="1888"/>
      <c r="H11" s="1888"/>
      <c r="I11" s="1888"/>
      <c r="J11" s="1888"/>
      <c r="K11" s="1888"/>
      <c r="L11" s="2311"/>
      <c r="M11" s="1864" t="str">
        <f t="shared" ref="M11:N18" si="0">+B7</f>
        <v>Resíduos de alimentos</v>
      </c>
      <c r="N11" s="2404">
        <f t="shared" si="0"/>
        <v>0</v>
      </c>
      <c r="O11" s="2320">
        <f t="shared" ref="O11:O18" si="1">+N11/$N$9</f>
        <v>0</v>
      </c>
      <c r="P11" s="2321">
        <f t="shared" ref="P11:P19" si="2">+Q11/$Q$9</f>
        <v>0</v>
      </c>
      <c r="Q11" s="2322">
        <f t="shared" ref="Q11:Q19" si="3">+C18</f>
        <v>0</v>
      </c>
      <c r="R11" s="2316" t="str">
        <f t="shared" ref="R11:R19" si="4">+B18</f>
        <v>Resíduos dispersos</v>
      </c>
      <c r="S11" s="1955"/>
      <c r="T11" s="1888"/>
    </row>
    <row r="12" spans="1:45" ht="18" customHeight="1" x14ac:dyDescent="0.25">
      <c r="A12" s="1888"/>
      <c r="B12" s="2239" t="s">
        <v>1111</v>
      </c>
      <c r="C12" s="2240">
        <f>+'CO2 - Cálculos'!AJ10</f>
        <v>3190.1</v>
      </c>
      <c r="D12" s="2232"/>
      <c r="E12" s="2232"/>
      <c r="F12" s="1888"/>
      <c r="G12" s="1888"/>
      <c r="H12" s="1888"/>
      <c r="I12" s="1888"/>
      <c r="J12" s="1888"/>
      <c r="K12" s="1888"/>
      <c r="L12" s="2311"/>
      <c r="M12" s="1864" t="str">
        <f t="shared" si="0"/>
        <v>Resíduos de jardins e parques</v>
      </c>
      <c r="N12" s="2404">
        <f t="shared" si="0"/>
        <v>0</v>
      </c>
      <c r="O12" s="2320">
        <f t="shared" si="1"/>
        <v>0</v>
      </c>
      <c r="P12" s="2321">
        <f t="shared" si="2"/>
        <v>0</v>
      </c>
      <c r="Q12" s="2322">
        <f t="shared" si="3"/>
        <v>0</v>
      </c>
      <c r="R12" s="2316" t="str">
        <f t="shared" si="4"/>
        <v>Queima a céu aberto</v>
      </c>
      <c r="S12" s="1955"/>
      <c r="T12" s="1888"/>
    </row>
    <row r="13" spans="1:45" ht="18" customHeight="1" x14ac:dyDescent="0.25">
      <c r="A13" s="1888"/>
      <c r="B13" s="2239" t="s">
        <v>1112</v>
      </c>
      <c r="C13" s="2240">
        <f>+'CO2 - Cálculos'!AJ11</f>
        <v>832.19999999999993</v>
      </c>
      <c r="D13" s="2232"/>
      <c r="E13" s="2232"/>
      <c r="F13" s="1888"/>
      <c r="G13" s="1888"/>
      <c r="H13" s="1888"/>
      <c r="I13" s="1888"/>
      <c r="J13" s="1888"/>
      <c r="K13" s="1888"/>
      <c r="L13" s="2311"/>
      <c r="M13" s="1864" t="str">
        <f t="shared" si="0"/>
        <v>Papel, papelão</v>
      </c>
      <c r="N13" s="2404">
        <f t="shared" si="0"/>
        <v>6368.9580000000005</v>
      </c>
      <c r="O13" s="2320">
        <f t="shared" si="1"/>
        <v>0.4324546707245745</v>
      </c>
      <c r="P13" s="2321">
        <f t="shared" si="2"/>
        <v>0</v>
      </c>
      <c r="Q13" s="2322">
        <f t="shared" si="3"/>
        <v>0</v>
      </c>
      <c r="R13" s="2316" t="str">
        <f t="shared" si="4"/>
        <v>Lixão não controlado</v>
      </c>
      <c r="S13" s="1955"/>
      <c r="T13" s="1888"/>
    </row>
    <row r="14" spans="1:45" ht="18" customHeight="1" x14ac:dyDescent="0.25">
      <c r="A14" s="1888"/>
      <c r="B14" s="2239" t="s">
        <v>1113</v>
      </c>
      <c r="C14" s="2240">
        <f>+'CO2 - Cálculos'!AJ12</f>
        <v>0</v>
      </c>
      <c r="D14" s="2232"/>
      <c r="E14" s="2232"/>
      <c r="F14" s="1888"/>
      <c r="G14" s="1888"/>
      <c r="H14" s="1888"/>
      <c r="I14" s="1888"/>
      <c r="J14" s="1888"/>
      <c r="K14" s="1888"/>
      <c r="L14" s="2311"/>
      <c r="M14" s="1864" t="str">
        <f t="shared" si="0"/>
        <v>Plásticos</v>
      </c>
      <c r="N14" s="2404">
        <f t="shared" si="0"/>
        <v>4336.2</v>
      </c>
      <c r="O14" s="2320">
        <f t="shared" si="1"/>
        <v>0.29442962933589761</v>
      </c>
      <c r="P14" s="2321">
        <f t="shared" si="2"/>
        <v>0.15</v>
      </c>
      <c r="Q14" s="2322">
        <f t="shared" si="3"/>
        <v>19690.881299999997</v>
      </c>
      <c r="R14" s="2316" t="str">
        <f t="shared" si="4"/>
        <v>Aterro controlado</v>
      </c>
      <c r="S14" s="1955"/>
      <c r="T14" s="1888"/>
    </row>
    <row r="15" spans="1:45" ht="18" customHeight="1" x14ac:dyDescent="0.25">
      <c r="A15" s="1888"/>
      <c r="B15" s="2285"/>
      <c r="C15" s="2401"/>
      <c r="D15" s="2232"/>
      <c r="E15" s="2232"/>
      <c r="F15" s="1888"/>
      <c r="G15" s="1888"/>
      <c r="H15" s="1888"/>
      <c r="I15" s="1888"/>
      <c r="J15" s="1888"/>
      <c r="K15" s="1888"/>
      <c r="L15" s="2311"/>
      <c r="M15" s="1864" t="str">
        <f t="shared" si="0"/>
        <v>Vidros</v>
      </c>
      <c r="N15" s="2404">
        <f t="shared" si="0"/>
        <v>0</v>
      </c>
      <c r="O15" s="2320">
        <f t="shared" si="1"/>
        <v>0</v>
      </c>
      <c r="P15" s="2321">
        <f t="shared" si="2"/>
        <v>0</v>
      </c>
      <c r="Q15" s="2322">
        <f t="shared" si="3"/>
        <v>0</v>
      </c>
      <c r="R15" s="2316" t="str">
        <f t="shared" si="4"/>
        <v>Aterro sanitário</v>
      </c>
      <c r="S15" s="1955"/>
      <c r="T15" s="1888"/>
    </row>
    <row r="16" spans="1:45" ht="18" customHeight="1" x14ac:dyDescent="0.25">
      <c r="A16" s="1888"/>
      <c r="B16" s="2258" t="s">
        <v>1264</v>
      </c>
      <c r="C16" s="2231">
        <f>+'CO2 - Cálculos'!AI57</f>
        <v>131272.54199999999</v>
      </c>
      <c r="D16" s="2232"/>
      <c r="E16" s="2232"/>
      <c r="F16" s="1888"/>
      <c r="G16" s="1888"/>
      <c r="H16" s="1888"/>
      <c r="I16" s="1888"/>
      <c r="J16" s="1888"/>
      <c r="K16" s="1888"/>
      <c r="L16" s="2311"/>
      <c r="M16" s="1864" t="str">
        <f t="shared" si="0"/>
        <v>Metais ferrosos</v>
      </c>
      <c r="N16" s="2404">
        <f t="shared" si="0"/>
        <v>3190.1</v>
      </c>
      <c r="O16" s="2320">
        <f t="shared" si="1"/>
        <v>0.21660900340031525</v>
      </c>
      <c r="P16" s="2321">
        <f t="shared" si="2"/>
        <v>0</v>
      </c>
      <c r="Q16" s="2322">
        <f t="shared" si="3"/>
        <v>0</v>
      </c>
      <c r="R16" s="2316" t="str">
        <f t="shared" si="4"/>
        <v>Trat. biol + cobertura at.</v>
      </c>
      <c r="S16" s="1955"/>
      <c r="T16" s="1888"/>
    </row>
    <row r="17" spans="1:47" ht="18" customHeight="1" x14ac:dyDescent="0.25">
      <c r="A17" s="1888"/>
      <c r="B17" s="2402"/>
      <c r="C17" s="2238"/>
      <c r="D17" s="2232"/>
      <c r="E17" s="2232"/>
      <c r="F17" s="1888"/>
      <c r="G17" s="1888"/>
      <c r="H17" s="1888"/>
      <c r="I17" s="1888"/>
      <c r="J17" s="1888"/>
      <c r="K17" s="1888"/>
      <c r="L17" s="2311"/>
      <c r="M17" s="1864" t="str">
        <f t="shared" si="0"/>
        <v>Alumínio</v>
      </c>
      <c r="N17" s="2404">
        <f t="shared" si="0"/>
        <v>832.19999999999993</v>
      </c>
      <c r="O17" s="2320">
        <f t="shared" si="1"/>
        <v>5.650669653921267E-2</v>
      </c>
      <c r="P17" s="2321">
        <f t="shared" si="2"/>
        <v>0</v>
      </c>
      <c r="Q17" s="2322">
        <f t="shared" si="3"/>
        <v>0</v>
      </c>
      <c r="R17" s="2316" t="str">
        <f t="shared" si="4"/>
        <v>CDR seco + rejeito aterro</v>
      </c>
      <c r="S17" s="1955"/>
      <c r="T17" s="1888"/>
    </row>
    <row r="18" spans="1:47" ht="18" customHeight="1" x14ac:dyDescent="0.25">
      <c r="A18" s="1888"/>
      <c r="B18" s="2239" t="s">
        <v>1242</v>
      </c>
      <c r="C18" s="2240">
        <f>+'CO2 - Cálculos'!AJ47</f>
        <v>0</v>
      </c>
      <c r="D18" s="2232"/>
      <c r="E18" s="2232"/>
      <c r="F18" s="1888"/>
      <c r="G18" s="1888"/>
      <c r="H18" s="1888"/>
      <c r="I18" s="1888"/>
      <c r="J18" s="1888"/>
      <c r="K18" s="1888"/>
      <c r="L18" s="2311"/>
      <c r="M18" s="1864" t="str">
        <f t="shared" si="0"/>
        <v>Têxteis</v>
      </c>
      <c r="N18" s="2404">
        <f t="shared" si="0"/>
        <v>0</v>
      </c>
      <c r="O18" s="2320">
        <f t="shared" si="1"/>
        <v>0</v>
      </c>
      <c r="P18" s="2321">
        <f t="shared" si="2"/>
        <v>0</v>
      </c>
      <c r="Q18" s="2322">
        <f t="shared" si="3"/>
        <v>0</v>
      </c>
      <c r="R18" s="2316" t="str">
        <f t="shared" si="4"/>
        <v>CDR seco + trat. biol.</v>
      </c>
      <c r="S18" s="1955"/>
      <c r="T18" s="1888"/>
    </row>
    <row r="19" spans="1:47" ht="18" customHeight="1" x14ac:dyDescent="0.25">
      <c r="A19" s="1888"/>
      <c r="B19" s="2239" t="s">
        <v>1243</v>
      </c>
      <c r="C19" s="2240">
        <f>+'CO2 - Cálculos'!AJ48</f>
        <v>0</v>
      </c>
      <c r="D19" s="2232"/>
      <c r="E19" s="2232"/>
      <c r="F19" s="1888"/>
      <c r="G19" s="1888"/>
      <c r="H19" s="1888"/>
      <c r="I19" s="1888"/>
      <c r="J19" s="1888"/>
      <c r="K19" s="1888"/>
      <c r="L19" s="2311"/>
      <c r="M19" s="2311"/>
      <c r="N19" s="2371"/>
      <c r="O19" s="2323"/>
      <c r="P19" s="2321">
        <f t="shared" si="2"/>
        <v>0</v>
      </c>
      <c r="Q19" s="2322">
        <f t="shared" si="3"/>
        <v>0</v>
      </c>
      <c r="R19" s="2316" t="str">
        <f t="shared" si="4"/>
        <v>CDR seco + CDR org.</v>
      </c>
      <c r="S19" s="1955"/>
      <c r="T19" s="1888"/>
    </row>
    <row r="20" spans="1:47" ht="18" customHeight="1" x14ac:dyDescent="0.25">
      <c r="A20" s="1888"/>
      <c r="B20" s="2239" t="s">
        <v>1244</v>
      </c>
      <c r="C20" s="2240">
        <f>+'CO2 - Cálculos'!AJ49</f>
        <v>0</v>
      </c>
      <c r="D20" s="2232"/>
      <c r="E20" s="2232"/>
      <c r="F20" s="1888"/>
      <c r="G20" s="1888"/>
      <c r="H20" s="1888"/>
      <c r="I20" s="1888"/>
      <c r="J20" s="1888"/>
      <c r="K20" s="1888"/>
      <c r="L20" s="2311"/>
      <c r="M20" s="2311"/>
      <c r="N20" s="2311"/>
      <c r="O20" s="2311"/>
      <c r="P20" s="2321">
        <f>+Q20/$Q$9</f>
        <v>0.85</v>
      </c>
      <c r="Q20" s="2322">
        <f>+C27</f>
        <v>111581.66069999998</v>
      </c>
      <c r="R20" s="2316" t="str">
        <f>+B27</f>
        <v>Incineração</v>
      </c>
      <c r="S20" s="1955"/>
      <c r="T20" s="1888"/>
    </row>
    <row r="21" spans="1:47" ht="18" customHeight="1" x14ac:dyDescent="0.25">
      <c r="A21" s="1888"/>
      <c r="B21" s="2239" t="s">
        <v>1245</v>
      </c>
      <c r="C21" s="2240">
        <f>+'CO2 - Cálculos'!AJ50</f>
        <v>19690.881299999997</v>
      </c>
      <c r="D21" s="2232"/>
      <c r="E21" s="2232"/>
      <c r="F21" s="1888"/>
      <c r="G21" s="1888"/>
      <c r="H21" s="1888"/>
      <c r="I21" s="1888"/>
      <c r="J21" s="1888"/>
      <c r="K21" s="1888"/>
      <c r="L21" s="1888"/>
      <c r="M21" s="1888"/>
      <c r="N21" s="1888"/>
      <c r="O21" s="1888"/>
      <c r="P21" s="1888"/>
      <c r="Q21" s="2014"/>
      <c r="R21" s="1888"/>
      <c r="S21" s="1888"/>
      <c r="T21" s="1888"/>
    </row>
    <row r="22" spans="1:47" ht="18" customHeight="1" x14ac:dyDescent="0.25">
      <c r="A22" s="1888"/>
      <c r="B22" s="2261" t="s">
        <v>64</v>
      </c>
      <c r="C22" s="2240">
        <f>+'CO2 - Cálculos'!AJ51</f>
        <v>0</v>
      </c>
      <c r="D22" s="2232"/>
      <c r="E22" s="2232"/>
      <c r="F22" s="1888"/>
      <c r="G22" s="1888"/>
      <c r="H22" s="1888"/>
      <c r="I22" s="1888"/>
      <c r="J22" s="1888"/>
      <c r="K22" s="1888"/>
      <c r="L22" s="1888"/>
      <c r="M22" s="1888"/>
      <c r="N22" s="1888"/>
      <c r="O22" s="1888"/>
      <c r="P22" s="1888"/>
      <c r="Q22" s="2014"/>
      <c r="R22" s="1888"/>
      <c r="S22" s="1888"/>
      <c r="T22" s="1888"/>
    </row>
    <row r="23" spans="1:47" ht="18" customHeight="1" x14ac:dyDescent="0.25">
      <c r="A23" s="1888"/>
      <c r="B23" s="2262" t="s">
        <v>1246</v>
      </c>
      <c r="C23" s="2263">
        <f>+'CO2 - Cálculos'!AJ52</f>
        <v>0</v>
      </c>
      <c r="D23" s="2232"/>
      <c r="E23" s="2232"/>
      <c r="F23" s="1888"/>
      <c r="G23" s="1888"/>
      <c r="H23" s="1888"/>
      <c r="I23" s="1888"/>
      <c r="J23" s="1888"/>
      <c r="K23" s="1888"/>
      <c r="L23" s="1888"/>
      <c r="M23" s="1888"/>
      <c r="N23" s="1888"/>
      <c r="O23" s="1888"/>
      <c r="P23" s="1888"/>
      <c r="Q23" s="1888"/>
      <c r="R23" s="1888"/>
      <c r="S23" s="1888"/>
      <c r="T23" s="1888"/>
    </row>
    <row r="24" spans="1:47" ht="18" customHeight="1" x14ac:dyDescent="0.25">
      <c r="A24" s="1888"/>
      <c r="B24" s="2262" t="s">
        <v>1247</v>
      </c>
      <c r="C24" s="2240">
        <f>+'CO2 - Cálculos'!AJ53</f>
        <v>0</v>
      </c>
      <c r="D24" s="2232"/>
      <c r="E24" s="2232"/>
      <c r="F24" s="1888"/>
      <c r="G24" s="1888"/>
      <c r="H24" s="1888"/>
      <c r="I24" s="1888"/>
      <c r="J24" s="1888"/>
      <c r="K24" s="1888"/>
      <c r="L24" s="1888"/>
      <c r="M24" s="1888"/>
      <c r="N24" s="1888"/>
      <c r="O24" s="1888"/>
      <c r="P24" s="1888"/>
      <c r="Q24" s="1888"/>
      <c r="R24" s="1888"/>
      <c r="S24" s="1888"/>
      <c r="T24" s="1888"/>
    </row>
    <row r="25" spans="1:47" ht="18" customHeight="1" x14ac:dyDescent="0.25">
      <c r="A25" s="1888"/>
      <c r="B25" s="2262" t="s">
        <v>1248</v>
      </c>
      <c r="C25" s="2240">
        <f>+'CO2 - Cálculos'!AJ54</f>
        <v>0</v>
      </c>
      <c r="D25" s="2232"/>
      <c r="E25" s="2232"/>
      <c r="F25" s="1888"/>
      <c r="G25" s="1888"/>
      <c r="H25" s="1888"/>
      <c r="I25" s="1888"/>
      <c r="J25" s="1888"/>
      <c r="K25" s="1888"/>
      <c r="L25" s="1888"/>
      <c r="M25" s="1888"/>
      <c r="N25" s="1888"/>
      <c r="O25" s="1888"/>
      <c r="P25" s="1888"/>
      <c r="Q25" s="1888"/>
      <c r="R25" s="1888"/>
      <c r="S25" s="1888"/>
      <c r="T25" s="1888"/>
    </row>
    <row r="26" spans="1:47" ht="18" customHeight="1" x14ac:dyDescent="0.25">
      <c r="A26" s="1888"/>
      <c r="B26" s="2262" t="s">
        <v>1249</v>
      </c>
      <c r="C26" s="2240">
        <f>+'CO2 - Cálculos'!AJ55</f>
        <v>0</v>
      </c>
      <c r="D26" s="2232"/>
      <c r="E26" s="2232"/>
      <c r="F26" s="1888"/>
      <c r="G26" s="1888"/>
      <c r="H26" s="1888"/>
      <c r="I26" s="1888"/>
      <c r="J26" s="1888"/>
      <c r="K26" s="1888"/>
      <c r="L26" s="1888"/>
      <c r="M26" s="1888"/>
      <c r="N26" s="1888"/>
      <c r="O26" s="1888"/>
      <c r="P26" s="1888"/>
      <c r="Q26" s="1888"/>
      <c r="R26" s="1888"/>
      <c r="S26" s="1888"/>
      <c r="T26" s="1888"/>
    </row>
    <row r="27" spans="1:47" ht="18" customHeight="1" x14ac:dyDescent="0.25">
      <c r="A27" s="1888"/>
      <c r="B27" s="2239" t="s">
        <v>63</v>
      </c>
      <c r="C27" s="2240">
        <f>+'CO2 - Cálculos'!AJ56</f>
        <v>111581.66069999998</v>
      </c>
      <c r="D27" s="2232"/>
      <c r="E27" s="2232"/>
      <c r="F27" s="1888"/>
      <c r="G27" s="1888"/>
      <c r="H27" s="1888"/>
      <c r="I27" s="1888"/>
      <c r="J27" s="1888"/>
      <c r="K27" s="1888"/>
      <c r="L27" s="1888"/>
      <c r="M27" s="1888"/>
      <c r="N27" s="1888"/>
      <c r="O27" s="1888"/>
      <c r="P27" s="1888"/>
      <c r="Q27" s="1888"/>
      <c r="R27" s="1888"/>
      <c r="S27" s="1888"/>
      <c r="T27" s="1888"/>
    </row>
    <row r="28" spans="1:47"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47" s="2227" customFormat="1" ht="26.1" customHeight="1" x14ac:dyDescent="0.2">
      <c r="A29" s="2061" t="s">
        <v>1265</v>
      </c>
      <c r="B29" s="2405"/>
      <c r="C29" s="2406"/>
      <c r="D29" s="2406"/>
      <c r="E29" s="2406"/>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row>
    <row r="30" spans="1:47"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47" ht="18" customHeight="1" x14ac:dyDescent="0.25">
      <c r="A31" s="1888"/>
      <c r="B31" s="2149"/>
      <c r="C31" s="2330" t="s">
        <v>1251</v>
      </c>
      <c r="D31" s="2077" t="s">
        <v>1252</v>
      </c>
      <c r="E31" s="2077" t="s">
        <v>1253</v>
      </c>
      <c r="F31" s="1888"/>
      <c r="G31" s="1888"/>
      <c r="H31" s="2269"/>
      <c r="I31" s="1888"/>
      <c r="J31" s="1888"/>
      <c r="K31" s="1888"/>
      <c r="L31" s="1888"/>
      <c r="M31" s="1888"/>
      <c r="N31" s="1888"/>
      <c r="O31" s="1888"/>
      <c r="P31" s="1888"/>
      <c r="Q31" s="1888"/>
      <c r="R31" s="1888"/>
      <c r="S31" s="1888"/>
      <c r="T31" s="1888"/>
    </row>
    <row r="32" spans="1:47" ht="18" customHeight="1" x14ac:dyDescent="0.2">
      <c r="A32" s="1888"/>
      <c r="B32" s="2304" t="s">
        <v>1238</v>
      </c>
      <c r="C32" s="2309"/>
      <c r="D32" s="2377"/>
      <c r="E32" s="2377"/>
      <c r="F32" s="1888"/>
      <c r="G32" s="1888"/>
      <c r="H32" s="1888"/>
      <c r="I32" s="1888"/>
      <c r="J32" s="1888"/>
      <c r="K32" s="1888"/>
      <c r="L32" s="1888"/>
      <c r="M32" s="1888"/>
      <c r="N32" s="1888"/>
      <c r="O32" s="1888"/>
      <c r="P32" s="1888"/>
      <c r="Q32" s="1888"/>
      <c r="R32" s="1888"/>
      <c r="S32" s="1888"/>
      <c r="T32" s="1888"/>
    </row>
    <row r="33" spans="1:20" ht="18" customHeight="1" x14ac:dyDescent="0.2">
      <c r="A33" s="1888"/>
      <c r="B33" s="2378"/>
      <c r="C33" s="2377"/>
      <c r="D33" s="2377"/>
      <c r="E33" s="2377"/>
      <c r="F33" s="1888"/>
      <c r="G33" s="1888"/>
      <c r="H33" s="1888"/>
      <c r="I33" s="1888"/>
      <c r="J33" s="1888"/>
      <c r="K33" s="1888"/>
      <c r="L33" s="1888"/>
      <c r="M33" s="1888"/>
      <c r="N33" s="1888"/>
      <c r="O33" s="1888"/>
      <c r="P33" s="1888"/>
      <c r="Q33" s="1888"/>
      <c r="R33" s="1888"/>
      <c r="S33" s="1888"/>
      <c r="T33" s="1888"/>
    </row>
    <row r="34" spans="1:20" ht="18" customHeight="1" x14ac:dyDescent="0.2">
      <c r="A34" s="1888"/>
      <c r="B34" s="2224" t="str">
        <f>B7</f>
        <v>Resíduos de alimentos</v>
      </c>
      <c r="C34" s="2310">
        <f t="shared" ref="C34:C41" si="5">+C62</f>
        <v>0</v>
      </c>
      <c r="D34" s="2310">
        <f t="shared" ref="D34:D41" si="6">+C71</f>
        <v>0</v>
      </c>
      <c r="E34" s="2310">
        <f t="shared" ref="E34:E41" si="7">+D34+C34</f>
        <v>0</v>
      </c>
      <c r="F34" s="1888"/>
      <c r="G34" s="1888"/>
      <c r="H34" s="1888"/>
      <c r="I34" s="1888"/>
      <c r="J34" s="1888"/>
      <c r="K34" s="1888"/>
      <c r="L34" s="1888"/>
      <c r="M34" s="1888"/>
      <c r="N34" s="1888"/>
      <c r="O34" s="1888"/>
      <c r="P34" s="1888"/>
      <c r="Q34" s="1888"/>
      <c r="R34" s="1888"/>
      <c r="S34" s="1888"/>
      <c r="T34" s="1888"/>
    </row>
    <row r="35" spans="1:20" ht="18" customHeight="1" x14ac:dyDescent="0.2">
      <c r="A35" s="1888"/>
      <c r="B35" s="2224" t="str">
        <f t="shared" ref="B35:B41" si="8">B8</f>
        <v>Resíduos de jardins e parques</v>
      </c>
      <c r="C35" s="2310">
        <f t="shared" si="5"/>
        <v>0</v>
      </c>
      <c r="D35" s="2310">
        <f t="shared" si="6"/>
        <v>0</v>
      </c>
      <c r="E35" s="2310">
        <f t="shared" si="7"/>
        <v>0</v>
      </c>
      <c r="F35" s="1888"/>
      <c r="G35" s="1888"/>
      <c r="H35" s="1888"/>
      <c r="I35" s="1888"/>
      <c r="J35" s="1888"/>
      <c r="K35" s="1888"/>
      <c r="L35" s="1888"/>
      <c r="M35" s="1888"/>
      <c r="N35" s="1888"/>
      <c r="O35" s="1888"/>
      <c r="P35" s="1888"/>
      <c r="Q35" s="1888"/>
      <c r="R35" s="1888"/>
      <c r="S35" s="1888"/>
      <c r="T35" s="1888"/>
    </row>
    <row r="36" spans="1:20" ht="18" customHeight="1" x14ac:dyDescent="0.2">
      <c r="A36" s="1888"/>
      <c r="B36" s="2224" t="str">
        <f t="shared" si="8"/>
        <v>Papel, papelão</v>
      </c>
      <c r="C36" s="2310">
        <f t="shared" si="5"/>
        <v>7999.4112480000003</v>
      </c>
      <c r="D36" s="2310">
        <f t="shared" si="6"/>
        <v>-9859.1469840000009</v>
      </c>
      <c r="E36" s="2310">
        <f t="shared" si="7"/>
        <v>-1859.7357360000005</v>
      </c>
      <c r="F36" s="1888"/>
      <c r="G36" s="1888"/>
      <c r="H36" s="1888"/>
      <c r="I36" s="1888"/>
      <c r="J36" s="1888"/>
      <c r="K36" s="1888"/>
      <c r="L36" s="1888"/>
      <c r="M36" s="1888"/>
      <c r="N36" s="1888"/>
      <c r="O36" s="1888"/>
      <c r="P36" s="1888"/>
      <c r="Q36" s="1888"/>
      <c r="R36" s="1888"/>
      <c r="S36" s="1888"/>
      <c r="T36" s="1888"/>
    </row>
    <row r="37" spans="1:20" ht="18" customHeight="1" x14ac:dyDescent="0.2">
      <c r="A37" s="1888"/>
      <c r="B37" s="2224" t="str">
        <f t="shared" si="8"/>
        <v>Plásticos</v>
      </c>
      <c r="C37" s="2310">
        <f t="shared" si="5"/>
        <v>1777.8420000000001</v>
      </c>
      <c r="D37" s="2310">
        <f t="shared" si="6"/>
        <v>-8281.2747600000002</v>
      </c>
      <c r="E37" s="2310">
        <f t="shared" si="7"/>
        <v>-6503.4327599999997</v>
      </c>
      <c r="F37" s="1888"/>
      <c r="G37" s="1888"/>
      <c r="H37" s="1888"/>
      <c r="I37" s="1888"/>
      <c r="J37" s="1888"/>
      <c r="K37" s="1888"/>
      <c r="L37" s="1888"/>
      <c r="M37" s="1888"/>
      <c r="N37" s="1888"/>
      <c r="O37" s="1888"/>
      <c r="P37" s="1888"/>
      <c r="Q37" s="1888"/>
      <c r="R37" s="1888"/>
      <c r="S37" s="1888"/>
      <c r="T37" s="1888"/>
    </row>
    <row r="38" spans="1:20" ht="18" customHeight="1" x14ac:dyDescent="0.2">
      <c r="A38" s="1888"/>
      <c r="B38" s="2224" t="str">
        <f t="shared" si="8"/>
        <v>Vidros</v>
      </c>
      <c r="C38" s="2310">
        <f t="shared" si="5"/>
        <v>0</v>
      </c>
      <c r="D38" s="2310">
        <f t="shared" si="6"/>
        <v>0</v>
      </c>
      <c r="E38" s="2310">
        <f t="shared" si="7"/>
        <v>0</v>
      </c>
      <c r="F38" s="1888"/>
      <c r="G38" s="1888"/>
      <c r="H38" s="1888"/>
      <c r="I38" s="1888"/>
      <c r="J38" s="1888"/>
      <c r="K38" s="1888"/>
      <c r="L38" s="1888"/>
      <c r="M38" s="1888"/>
      <c r="N38" s="1888"/>
      <c r="O38" s="1888"/>
      <c r="P38" s="1888"/>
      <c r="Q38" s="1888"/>
      <c r="R38" s="1888"/>
      <c r="S38" s="1888"/>
      <c r="T38" s="1888"/>
    </row>
    <row r="39" spans="1:20" ht="18" customHeight="1" x14ac:dyDescent="0.2">
      <c r="A39" s="1888"/>
      <c r="B39" s="2224" t="str">
        <f t="shared" si="8"/>
        <v>Metais ferrosos</v>
      </c>
      <c r="C39" s="2310">
        <f t="shared" si="5"/>
        <v>204.16639999999998</v>
      </c>
      <c r="D39" s="2310">
        <f t="shared" si="6"/>
        <v>-5461.4512000000004</v>
      </c>
      <c r="E39" s="2310">
        <f t="shared" si="7"/>
        <v>-5257.2848000000004</v>
      </c>
      <c r="F39" s="1888"/>
      <c r="G39" s="1888"/>
      <c r="H39" s="1888"/>
      <c r="I39" s="1888"/>
      <c r="J39" s="1888"/>
      <c r="K39" s="1888"/>
      <c r="L39" s="1888"/>
      <c r="M39" s="1888"/>
      <c r="N39" s="1888"/>
      <c r="O39" s="1888"/>
      <c r="P39" s="1888"/>
      <c r="Q39" s="1888"/>
      <c r="R39" s="1888"/>
      <c r="S39" s="1888"/>
      <c r="T39" s="1888"/>
    </row>
    <row r="40" spans="1:20" ht="18" customHeight="1" x14ac:dyDescent="0.2">
      <c r="A40" s="1888"/>
      <c r="B40" s="2224" t="str">
        <f t="shared" si="8"/>
        <v>Alumínio</v>
      </c>
      <c r="C40" s="2310">
        <f t="shared" si="5"/>
        <v>580.04339999999991</v>
      </c>
      <c r="D40" s="2310">
        <f t="shared" si="6"/>
        <v>-8222.1359999999986</v>
      </c>
      <c r="E40" s="2310">
        <f t="shared" si="7"/>
        <v>-7642.092599999999</v>
      </c>
      <c r="F40" s="1888"/>
      <c r="G40" s="1888"/>
      <c r="H40" s="1888"/>
      <c r="I40" s="1888"/>
      <c r="J40" s="1888"/>
      <c r="K40" s="1888"/>
      <c r="L40" s="1888"/>
      <c r="M40" s="1888"/>
      <c r="N40" s="1888"/>
      <c r="O40" s="1888"/>
      <c r="P40" s="1888"/>
      <c r="Q40" s="1888"/>
      <c r="R40" s="1888"/>
      <c r="S40" s="1888"/>
      <c r="T40" s="1888"/>
    </row>
    <row r="41" spans="1:20" ht="18" customHeight="1" x14ac:dyDescent="0.2">
      <c r="A41" s="1888"/>
      <c r="B41" s="2224" t="str">
        <f t="shared" si="8"/>
        <v>Têxteis</v>
      </c>
      <c r="C41" s="2310">
        <f t="shared" si="5"/>
        <v>0</v>
      </c>
      <c r="D41" s="2310">
        <f t="shared" si="6"/>
        <v>0</v>
      </c>
      <c r="E41" s="2310">
        <f t="shared" si="7"/>
        <v>0</v>
      </c>
      <c r="F41" s="1888"/>
      <c r="G41" s="1888"/>
      <c r="H41" s="1888"/>
      <c r="I41" s="1888"/>
      <c r="J41" s="1888"/>
      <c r="K41" s="1888"/>
      <c r="L41" s="1888"/>
      <c r="M41" s="1888"/>
      <c r="N41" s="1888"/>
      <c r="O41" s="1888"/>
      <c r="P41" s="1888"/>
      <c r="Q41" s="1888"/>
      <c r="R41" s="1888"/>
      <c r="S41" s="1888"/>
      <c r="T41" s="1888"/>
    </row>
    <row r="42" spans="1:20" ht="18" customHeight="1" x14ac:dyDescent="0.2">
      <c r="A42" s="1888"/>
      <c r="B42" s="1906"/>
      <c r="C42" s="2306"/>
      <c r="D42" s="2306"/>
      <c r="E42" s="2306"/>
      <c r="F42" s="1888"/>
      <c r="G42" s="1888"/>
      <c r="H42" s="1888"/>
      <c r="I42" s="1888"/>
      <c r="J42" s="1888"/>
      <c r="K42" s="1888"/>
      <c r="L42" s="1888"/>
      <c r="M42" s="1888"/>
      <c r="N42" s="1888"/>
      <c r="O42" s="1888"/>
      <c r="P42" s="1888"/>
      <c r="Q42" s="1888"/>
      <c r="R42" s="1888"/>
      <c r="S42" s="1888"/>
      <c r="T42" s="1888"/>
    </row>
    <row r="43" spans="1:20" ht="18" customHeight="1" x14ac:dyDescent="0.2">
      <c r="A43" s="1888"/>
      <c r="B43" s="1977" t="s">
        <v>1266</v>
      </c>
      <c r="C43" s="2309"/>
      <c r="D43" s="2309"/>
      <c r="E43" s="2309"/>
      <c r="F43" s="1888"/>
      <c r="G43" s="1888"/>
      <c r="H43" s="1888"/>
      <c r="I43" s="1888"/>
      <c r="J43" s="1888"/>
      <c r="K43" s="1888"/>
      <c r="L43" s="1888"/>
      <c r="M43" s="1888"/>
      <c r="N43" s="1888"/>
      <c r="O43" s="1888"/>
      <c r="P43" s="1888"/>
      <c r="Q43" s="1888"/>
      <c r="R43" s="1888"/>
      <c r="S43" s="1888"/>
      <c r="T43" s="1888"/>
    </row>
    <row r="44" spans="1:20" ht="18" customHeight="1" x14ac:dyDescent="0.2">
      <c r="A44" s="1888"/>
      <c r="B44" s="2378"/>
      <c r="C44" s="2309"/>
      <c r="D44" s="2309"/>
      <c r="E44" s="2309"/>
      <c r="F44" s="1888"/>
      <c r="G44" s="1888"/>
      <c r="H44" s="1888"/>
      <c r="I44" s="1888"/>
      <c r="J44" s="1888"/>
      <c r="K44" s="1888"/>
      <c r="L44" s="1888"/>
      <c r="M44" s="1888"/>
      <c r="N44" s="1888"/>
      <c r="O44" s="1888"/>
      <c r="P44" s="1888"/>
      <c r="Q44" s="1888"/>
      <c r="R44" s="1888"/>
      <c r="S44" s="1888"/>
      <c r="T44" s="1888"/>
    </row>
    <row r="45" spans="1:20" ht="18" customHeight="1" x14ac:dyDescent="0.2">
      <c r="A45" s="1888"/>
      <c r="B45" s="2224" t="str">
        <f>B18</f>
        <v>Resíduos dispersos</v>
      </c>
      <c r="C45" s="2310">
        <f t="shared" ref="C45:C53" si="9">+L62</f>
        <v>0</v>
      </c>
      <c r="D45" s="2310">
        <f t="shared" ref="D45:D54" si="10">+L73</f>
        <v>0</v>
      </c>
      <c r="E45" s="2310">
        <f t="shared" ref="E45:E53" si="11">+D45+C45</f>
        <v>0</v>
      </c>
      <c r="F45" s="1888"/>
      <c r="G45" s="1888"/>
      <c r="H45" s="1888"/>
      <c r="I45" s="1888"/>
      <c r="J45" s="1888"/>
      <c r="K45" s="1888"/>
      <c r="L45" s="1888"/>
      <c r="M45" s="1888"/>
      <c r="N45" s="1888"/>
      <c r="O45" s="1888"/>
      <c r="P45" s="1888"/>
      <c r="Q45" s="1888"/>
      <c r="R45" s="1888"/>
      <c r="S45" s="1888"/>
      <c r="T45" s="1888"/>
    </row>
    <row r="46" spans="1:20" ht="18" customHeight="1" x14ac:dyDescent="0.2">
      <c r="A46" s="1888"/>
      <c r="B46" s="2224" t="str">
        <f t="shared" ref="B46:B54" si="12">B19</f>
        <v>Queima a céu aberto</v>
      </c>
      <c r="C46" s="2310">
        <f t="shared" si="9"/>
        <v>0</v>
      </c>
      <c r="D46" s="2310">
        <f t="shared" si="10"/>
        <v>0</v>
      </c>
      <c r="E46" s="2310">
        <f t="shared" si="11"/>
        <v>0</v>
      </c>
      <c r="F46" s="1888"/>
      <c r="G46" s="1888"/>
      <c r="H46" s="1888"/>
      <c r="I46" s="1888"/>
      <c r="J46" s="1888"/>
      <c r="K46" s="1888"/>
      <c r="L46" s="1888"/>
      <c r="M46" s="1888"/>
      <c r="N46" s="1888"/>
      <c r="O46" s="1888"/>
      <c r="P46" s="1888"/>
      <c r="Q46" s="1888"/>
      <c r="R46" s="1888"/>
      <c r="S46" s="1888"/>
      <c r="T46" s="1888"/>
    </row>
    <row r="47" spans="1:20" ht="18" customHeight="1" x14ac:dyDescent="0.2">
      <c r="A47" s="1888"/>
      <c r="B47" s="2224" t="str">
        <f t="shared" si="12"/>
        <v>Lixão não controlado</v>
      </c>
      <c r="C47" s="2310">
        <f t="shared" si="9"/>
        <v>0</v>
      </c>
      <c r="D47" s="2310">
        <f t="shared" si="10"/>
        <v>0</v>
      </c>
      <c r="E47" s="2310">
        <f t="shared" si="11"/>
        <v>0</v>
      </c>
      <c r="F47" s="1888"/>
      <c r="G47" s="1888"/>
      <c r="H47" s="1888"/>
      <c r="I47" s="1888"/>
      <c r="J47" s="1888"/>
      <c r="K47" s="1888"/>
      <c r="L47" s="1888"/>
      <c r="M47" s="1888"/>
      <c r="N47" s="1888"/>
      <c r="O47" s="1888"/>
      <c r="P47" s="1888"/>
      <c r="Q47" s="1888"/>
      <c r="R47" s="1888"/>
      <c r="S47" s="1888"/>
      <c r="T47" s="1888"/>
    </row>
    <row r="48" spans="1:20" ht="18" customHeight="1" x14ac:dyDescent="0.2">
      <c r="A48" s="1888"/>
      <c r="B48" s="2224" t="str">
        <f t="shared" si="12"/>
        <v>Aterro controlado</v>
      </c>
      <c r="C48" s="2310">
        <f t="shared" si="9"/>
        <v>26461.27246280506</v>
      </c>
      <c r="D48" s="2310">
        <f t="shared" si="10"/>
        <v>0</v>
      </c>
      <c r="E48" s="2310">
        <f t="shared" si="11"/>
        <v>26461.27246280506</v>
      </c>
      <c r="F48" s="1888"/>
      <c r="G48" s="1888"/>
      <c r="H48" s="1888"/>
      <c r="I48" s="1888"/>
      <c r="J48" s="1888"/>
      <c r="K48" s="1888"/>
      <c r="L48" s="1888"/>
      <c r="M48" s="1888"/>
      <c r="N48" s="1888"/>
      <c r="O48" s="1888"/>
      <c r="P48" s="1888"/>
      <c r="Q48" s="1888"/>
      <c r="R48" s="1888"/>
      <c r="S48" s="1888"/>
      <c r="T48" s="1888"/>
    </row>
    <row r="49" spans="1:20" ht="18" customHeight="1" x14ac:dyDescent="0.2">
      <c r="A49" s="1888"/>
      <c r="B49" s="2224" t="str">
        <f t="shared" si="12"/>
        <v>Aterro sanitário</v>
      </c>
      <c r="C49" s="2310">
        <f t="shared" si="9"/>
        <v>0</v>
      </c>
      <c r="D49" s="2310">
        <f t="shared" si="10"/>
        <v>0</v>
      </c>
      <c r="E49" s="2310">
        <f t="shared" si="11"/>
        <v>0</v>
      </c>
      <c r="F49" s="1888"/>
      <c r="G49" s="1888"/>
      <c r="H49" s="1888"/>
      <c r="I49" s="1888"/>
      <c r="J49" s="1888"/>
      <c r="K49" s="1888"/>
      <c r="L49" s="1888"/>
      <c r="M49" s="1888"/>
      <c r="N49" s="1888"/>
      <c r="O49" s="1888"/>
      <c r="P49" s="1888"/>
      <c r="Q49" s="1888"/>
      <c r="R49" s="1888"/>
      <c r="S49" s="1888"/>
      <c r="T49" s="1888"/>
    </row>
    <row r="50" spans="1:20" ht="18" customHeight="1" x14ac:dyDescent="0.2">
      <c r="A50" s="1888"/>
      <c r="B50" s="2224" t="str">
        <f t="shared" si="12"/>
        <v>Trat. biol + cobertura at.</v>
      </c>
      <c r="C50" s="2310">
        <f t="shared" si="9"/>
        <v>0</v>
      </c>
      <c r="D50" s="2310">
        <f t="shared" si="10"/>
        <v>0</v>
      </c>
      <c r="E50" s="2310">
        <f t="shared" si="11"/>
        <v>0</v>
      </c>
      <c r="F50" s="1888"/>
      <c r="G50" s="1888"/>
      <c r="H50" s="1888"/>
      <c r="I50" s="1888"/>
      <c r="J50" s="1888"/>
      <c r="K50" s="1888"/>
      <c r="L50" s="1888"/>
      <c r="M50" s="1888"/>
      <c r="N50" s="1888"/>
      <c r="O50" s="1888"/>
      <c r="P50" s="1888"/>
      <c r="Q50" s="1888"/>
      <c r="R50" s="1888"/>
      <c r="S50" s="1888"/>
      <c r="T50" s="1888"/>
    </row>
    <row r="51" spans="1:20" ht="18" customHeight="1" x14ac:dyDescent="0.2">
      <c r="A51" s="1888"/>
      <c r="B51" s="2224" t="str">
        <f t="shared" si="12"/>
        <v>CDR seco + rejeito aterro</v>
      </c>
      <c r="C51" s="2310">
        <f t="shared" si="9"/>
        <v>0</v>
      </c>
      <c r="D51" s="2310">
        <f t="shared" si="10"/>
        <v>0</v>
      </c>
      <c r="E51" s="2310">
        <f t="shared" si="11"/>
        <v>0</v>
      </c>
      <c r="F51" s="1888"/>
      <c r="G51" s="2279"/>
      <c r="H51" s="2280"/>
      <c r="I51" s="2280"/>
      <c r="J51" s="2280"/>
      <c r="K51" s="1888"/>
      <c r="L51" s="1888"/>
      <c r="M51" s="1888"/>
      <c r="N51" s="1888"/>
      <c r="O51" s="1888"/>
      <c r="P51" s="1888"/>
      <c r="Q51" s="1888"/>
      <c r="R51" s="1888"/>
      <c r="S51" s="1888"/>
      <c r="T51" s="1888"/>
    </row>
    <row r="52" spans="1:20" ht="18" customHeight="1" x14ac:dyDescent="0.2">
      <c r="A52" s="1888"/>
      <c r="B52" s="2224" t="str">
        <f t="shared" si="12"/>
        <v>CDR seco + trat. biol.</v>
      </c>
      <c r="C52" s="2310">
        <f t="shared" si="9"/>
        <v>0</v>
      </c>
      <c r="D52" s="2310">
        <f t="shared" si="10"/>
        <v>0</v>
      </c>
      <c r="E52" s="2310">
        <f t="shared" si="11"/>
        <v>0</v>
      </c>
      <c r="F52" s="1888"/>
      <c r="G52" s="2384"/>
      <c r="H52" s="2268" t="s">
        <v>1254</v>
      </c>
      <c r="I52" s="2268" t="s">
        <v>1269</v>
      </c>
      <c r="J52" s="2268" t="s">
        <v>1255</v>
      </c>
      <c r="K52" s="1888"/>
      <c r="L52" s="1888"/>
      <c r="M52" s="1888"/>
      <c r="N52" s="1888"/>
      <c r="O52" s="1888"/>
      <c r="P52" s="1888"/>
      <c r="Q52" s="1888"/>
      <c r="R52" s="1888"/>
      <c r="S52" s="1888"/>
      <c r="T52" s="1888"/>
    </row>
    <row r="53" spans="1:20" ht="18" customHeight="1" x14ac:dyDescent="0.2">
      <c r="A53" s="1888"/>
      <c r="B53" s="2224" t="str">
        <f t="shared" si="12"/>
        <v>CDR seco + CDR org.</v>
      </c>
      <c r="C53" s="2310">
        <f t="shared" si="9"/>
        <v>0</v>
      </c>
      <c r="D53" s="2310">
        <f t="shared" si="10"/>
        <v>0</v>
      </c>
      <c r="E53" s="2310">
        <f t="shared" si="11"/>
        <v>0</v>
      </c>
      <c r="F53" s="1888"/>
      <c r="G53" s="1965" t="s">
        <v>1256</v>
      </c>
      <c r="H53" s="2297">
        <f>SUM(C34:C41)</f>
        <v>10561.463048000001</v>
      </c>
      <c r="I53" s="2297">
        <f>SUM(C45:C54)</f>
        <v>65989.517947731059</v>
      </c>
      <c r="J53" s="2297">
        <f>+I53+H53</f>
        <v>76550.980995731064</v>
      </c>
      <c r="K53" s="1888"/>
      <c r="L53" s="1888"/>
      <c r="M53" s="1888"/>
      <c r="N53" s="1888"/>
      <c r="O53" s="1888"/>
      <c r="P53" s="1888"/>
      <c r="Q53" s="1888"/>
      <c r="R53" s="1888"/>
      <c r="S53" s="1888"/>
      <c r="T53" s="1888"/>
    </row>
    <row r="54" spans="1:20" ht="18" customHeight="1" x14ac:dyDescent="0.2">
      <c r="A54" s="1888"/>
      <c r="B54" s="2224" t="str">
        <f t="shared" si="12"/>
        <v>Incineração</v>
      </c>
      <c r="C54" s="2310">
        <f>+L71</f>
        <v>39528.245484926003</v>
      </c>
      <c r="D54" s="2310">
        <f t="shared" si="10"/>
        <v>-2810.5079200893747</v>
      </c>
      <c r="E54" s="2310">
        <f>+D54+C54</f>
        <v>36717.737564836629</v>
      </c>
      <c r="F54" s="1888"/>
      <c r="G54" s="1965" t="s">
        <v>1257</v>
      </c>
      <c r="H54" s="2297">
        <f>SUM(D34:D41)</f>
        <v>-31824.008943999997</v>
      </c>
      <c r="I54" s="2297">
        <f>SUM(D45:D54)</f>
        <v>-2810.5079200893747</v>
      </c>
      <c r="J54" s="2297">
        <f>+I54+H54</f>
        <v>-34634.516864089375</v>
      </c>
      <c r="K54" s="1888"/>
      <c r="L54" s="1888"/>
      <c r="M54" s="1888"/>
      <c r="N54" s="1888"/>
      <c r="O54" s="1888"/>
      <c r="P54" s="1888"/>
      <c r="Q54" s="1888"/>
      <c r="R54" s="1888"/>
      <c r="S54" s="1888"/>
      <c r="T54" s="1888"/>
    </row>
    <row r="55" spans="1:20" ht="18" customHeight="1" x14ac:dyDescent="0.2">
      <c r="A55" s="1888"/>
      <c r="B55" s="1906"/>
      <c r="C55" s="2306"/>
      <c r="D55" s="2306"/>
      <c r="E55" s="2306"/>
      <c r="F55" s="1888"/>
      <c r="G55" s="1965" t="s">
        <v>1258</v>
      </c>
      <c r="H55" s="2297">
        <f>+H53+H54</f>
        <v>-21262.545895999996</v>
      </c>
      <c r="I55" s="2297">
        <f>+I53+I54</f>
        <v>63179.010027641685</v>
      </c>
      <c r="J55" s="2297">
        <f>+I55+H55</f>
        <v>41916.464131641689</v>
      </c>
      <c r="K55" s="1888"/>
      <c r="L55" s="1888"/>
      <c r="M55" s="1888"/>
      <c r="N55" s="1888"/>
      <c r="O55" s="1888"/>
      <c r="P55" s="1888"/>
      <c r="Q55" s="1888"/>
      <c r="R55" s="1888"/>
      <c r="S55" s="1888"/>
      <c r="T55" s="1888"/>
    </row>
    <row r="56" spans="1:20" ht="18" customHeight="1" x14ac:dyDescent="0.2">
      <c r="A56" s="1888"/>
      <c r="B56" s="1977" t="s">
        <v>52</v>
      </c>
      <c r="C56" s="2330">
        <f>SUM(C34:C54)</f>
        <v>76550.980995731064</v>
      </c>
      <c r="D56" s="2330">
        <f>SUM(D34:D54)</f>
        <v>-34634.516864089375</v>
      </c>
      <c r="E56" s="2330">
        <f>+D56+C56</f>
        <v>41916.464131641689</v>
      </c>
      <c r="F56" s="1888"/>
      <c r="G56" s="2279"/>
      <c r="H56" s="2288"/>
      <c r="I56" s="2288"/>
      <c r="J56" s="2288"/>
      <c r="K56" s="1888"/>
      <c r="L56" s="1888"/>
      <c r="M56" s="1888"/>
      <c r="N56" s="1888"/>
      <c r="O56" s="1888"/>
      <c r="P56" s="1888"/>
      <c r="Q56" s="1888"/>
      <c r="R56" s="1888"/>
      <c r="S56" s="1888"/>
      <c r="T56" s="1888"/>
    </row>
    <row r="57" spans="1:20"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0"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0" s="2227" customFormat="1" ht="26.1" customHeight="1" x14ac:dyDescent="0.2">
      <c r="A59" s="2289" t="s">
        <v>1259</v>
      </c>
      <c r="B59" s="1983"/>
      <c r="C59" s="2328"/>
      <c r="D59" s="2328"/>
      <c r="E59" s="2328"/>
      <c r="F59" s="2226"/>
      <c r="G59" s="1983"/>
      <c r="H59" s="1983"/>
      <c r="I59" s="1983"/>
      <c r="J59" s="1983"/>
      <c r="K59" s="1910" t="s">
        <v>1260</v>
      </c>
      <c r="L59" s="1983"/>
      <c r="M59" s="1983"/>
      <c r="N59" s="1983"/>
      <c r="O59" s="1983"/>
      <c r="P59" s="1983"/>
      <c r="Q59" s="1983"/>
      <c r="R59" s="1983"/>
      <c r="S59" s="1983"/>
      <c r="T59" s="1983"/>
    </row>
    <row r="60" spans="1:20"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0" ht="18" customHeight="1" x14ac:dyDescent="0.2">
      <c r="A61" s="1888"/>
      <c r="B61" s="2407"/>
      <c r="C61" s="2304" t="s">
        <v>1238</v>
      </c>
      <c r="D61" s="2077" t="s">
        <v>1258</v>
      </c>
      <c r="E61" s="1888"/>
      <c r="F61" s="1888"/>
      <c r="G61" s="1888"/>
      <c r="H61" s="1888"/>
      <c r="I61" s="1888"/>
      <c r="J61" s="2408"/>
      <c r="K61" s="2409"/>
      <c r="L61" s="2077" t="s">
        <v>1266</v>
      </c>
      <c r="M61" s="2077" t="s">
        <v>1258</v>
      </c>
      <c r="N61" s="1888"/>
      <c r="O61" s="1888"/>
      <c r="P61" s="1888"/>
      <c r="Q61" s="1888"/>
      <c r="R61" s="1888"/>
      <c r="S61" s="1888"/>
      <c r="T61" s="1888"/>
    </row>
    <row r="62" spans="1:20" ht="18" customHeight="1" x14ac:dyDescent="0.2">
      <c r="A62" s="1888"/>
      <c r="B62" s="2301" t="str">
        <f>+'CO2 - Cálculos'!AC16</f>
        <v>Resíduos de alimentos</v>
      </c>
      <c r="C62" s="2310">
        <f>+'CO2 - Cálculos'!AK16</f>
        <v>0</v>
      </c>
      <c r="D62" s="2377"/>
      <c r="E62" s="1888"/>
      <c r="F62" s="1888"/>
      <c r="G62" s="1888"/>
      <c r="H62" s="1888"/>
      <c r="I62" s="1888"/>
      <c r="J62" s="2408"/>
      <c r="K62" s="2410" t="str">
        <f>+'CO2 - Cálculos'!AC61</f>
        <v>Resíduos dispersos</v>
      </c>
      <c r="L62" s="2411">
        <f>+'CO2 - Cálculos'!AK61</f>
        <v>0</v>
      </c>
      <c r="M62" s="2378"/>
      <c r="N62" s="1888"/>
      <c r="O62" s="1888"/>
      <c r="P62" s="1888"/>
      <c r="Q62" s="1888"/>
      <c r="R62" s="1888"/>
      <c r="S62" s="1888"/>
      <c r="T62" s="1888"/>
    </row>
    <row r="63" spans="1:20" ht="18" customHeight="1" x14ac:dyDescent="0.2">
      <c r="A63" s="1888"/>
      <c r="B63" s="2301" t="str">
        <f>+'CO2 - Cálculos'!AC17</f>
        <v>Resíduos de jardins e parques</v>
      </c>
      <c r="C63" s="2310">
        <f>+'CO2 - Cálculos'!AK17</f>
        <v>0</v>
      </c>
      <c r="D63" s="2377"/>
      <c r="E63" s="1888"/>
      <c r="F63" s="1888"/>
      <c r="G63" s="1888"/>
      <c r="H63" s="1888"/>
      <c r="I63" s="1888"/>
      <c r="J63" s="2408"/>
      <c r="K63" s="2410" t="str">
        <f>+'CO2 - Cálculos'!AC62</f>
        <v>Queima a céu aberto</v>
      </c>
      <c r="L63" s="2411">
        <f>+'CO2 - Cálculos'!AK62</f>
        <v>0</v>
      </c>
      <c r="M63" s="2378"/>
      <c r="N63" s="1888"/>
      <c r="O63" s="1888"/>
      <c r="P63" s="1888"/>
      <c r="Q63" s="1888"/>
      <c r="R63" s="1888"/>
      <c r="S63" s="1888"/>
      <c r="T63" s="1888"/>
    </row>
    <row r="64" spans="1:20" ht="18" customHeight="1" x14ac:dyDescent="0.2">
      <c r="A64" s="1888"/>
      <c r="B64" s="2301" t="str">
        <f>+'CO2 - Cálculos'!AC18</f>
        <v>Papel, papelão</v>
      </c>
      <c r="C64" s="2310">
        <f>+'CO2 - Cálculos'!AK18</f>
        <v>7999.4112480000003</v>
      </c>
      <c r="D64" s="2377"/>
      <c r="E64" s="1888"/>
      <c r="F64" s="1888"/>
      <c r="G64" s="1888"/>
      <c r="H64" s="1888"/>
      <c r="I64" s="1888"/>
      <c r="J64" s="2408"/>
      <c r="K64" s="2410" t="str">
        <f>+'CO2 - Cálculos'!AC63</f>
        <v>Lixão não controlado</v>
      </c>
      <c r="L64" s="2411">
        <f>+'CO2 - Cálculos'!AK63</f>
        <v>0</v>
      </c>
      <c r="M64" s="2378"/>
      <c r="N64" s="1888"/>
      <c r="O64" s="1888"/>
      <c r="P64" s="1888"/>
      <c r="Q64" s="1888"/>
      <c r="R64" s="1888"/>
      <c r="S64" s="1888"/>
      <c r="T64" s="1888"/>
    </row>
    <row r="65" spans="1:20" ht="18" customHeight="1" x14ac:dyDescent="0.2">
      <c r="A65" s="1888"/>
      <c r="B65" s="2301" t="str">
        <f>+'CO2 - Cálculos'!AC19</f>
        <v>Plásticos</v>
      </c>
      <c r="C65" s="2310">
        <f>+'CO2 - Cálculos'!AK19</f>
        <v>1777.8420000000001</v>
      </c>
      <c r="D65" s="2377"/>
      <c r="E65" s="1888"/>
      <c r="F65" s="1888"/>
      <c r="G65" s="1888"/>
      <c r="H65" s="1888"/>
      <c r="I65" s="1888"/>
      <c r="J65" s="2408"/>
      <c r="K65" s="2410" t="str">
        <f>+'CO2 - Cálculos'!AC64</f>
        <v>Aterro controlado</v>
      </c>
      <c r="L65" s="2411">
        <f>+'CO2 - Cálculos'!AK64</f>
        <v>26461.27246280506</v>
      </c>
      <c r="M65" s="2378"/>
      <c r="N65" s="1888"/>
      <c r="O65" s="1888"/>
      <c r="P65" s="1888"/>
      <c r="Q65" s="1888"/>
      <c r="R65" s="1888"/>
      <c r="S65" s="1888"/>
      <c r="T65" s="1888"/>
    </row>
    <row r="66" spans="1:20" ht="18" customHeight="1" x14ac:dyDescent="0.2">
      <c r="A66" s="1888"/>
      <c r="B66" s="2301" t="str">
        <f>+'CO2 - Cálculos'!AC20</f>
        <v>Vidros</v>
      </c>
      <c r="C66" s="2310">
        <f>+'CO2 - Cálculos'!AK20</f>
        <v>0</v>
      </c>
      <c r="D66" s="2377"/>
      <c r="E66" s="1888"/>
      <c r="F66" s="1888"/>
      <c r="G66" s="1888"/>
      <c r="H66" s="1888"/>
      <c r="I66" s="1888"/>
      <c r="J66" s="2408"/>
      <c r="K66" s="2410" t="str">
        <f>+'CO2 - Cálculos'!AC65</f>
        <v>Aterro sanitário</v>
      </c>
      <c r="L66" s="2411">
        <f>+'CO2 - Cálculos'!AK65</f>
        <v>0</v>
      </c>
      <c r="M66" s="2378"/>
      <c r="N66" s="1888"/>
      <c r="O66" s="1888"/>
      <c r="P66" s="1888"/>
      <c r="Q66" s="1888"/>
      <c r="R66" s="1888"/>
      <c r="S66" s="1888"/>
      <c r="T66" s="1888"/>
    </row>
    <row r="67" spans="1:20" ht="18" customHeight="1" x14ac:dyDescent="0.2">
      <c r="A67" s="1888"/>
      <c r="B67" s="2301" t="str">
        <f>+'CO2 - Cálculos'!AC21</f>
        <v>Metais ferrosos</v>
      </c>
      <c r="C67" s="2310">
        <f>+'CO2 - Cálculos'!AK21</f>
        <v>204.16639999999998</v>
      </c>
      <c r="D67" s="2377"/>
      <c r="E67" s="1888"/>
      <c r="F67" s="1888"/>
      <c r="G67" s="1888"/>
      <c r="H67" s="1888"/>
      <c r="I67" s="1888"/>
      <c r="J67" s="2412"/>
      <c r="K67" s="2410" t="str">
        <f>+'CO2 - Cálculos'!AC66</f>
        <v>Trat. biol + cobertura at.</v>
      </c>
      <c r="L67" s="2411">
        <f>+'CO2 - Cálculos'!AK66</f>
        <v>0</v>
      </c>
      <c r="M67" s="2378"/>
      <c r="N67" s="1888"/>
      <c r="O67" s="1888"/>
      <c r="P67" s="1888"/>
      <c r="Q67" s="1888"/>
      <c r="R67" s="1888"/>
      <c r="S67" s="1888"/>
      <c r="T67" s="1888"/>
    </row>
    <row r="68" spans="1:20" ht="18" customHeight="1" x14ac:dyDescent="0.2">
      <c r="A68" s="1888"/>
      <c r="B68" s="2301" t="str">
        <f>+'CO2 - Cálculos'!AC22</f>
        <v>Alumínio</v>
      </c>
      <c r="C68" s="2310">
        <f>+'CO2 - Cálculos'!AK22</f>
        <v>580.04339999999991</v>
      </c>
      <c r="D68" s="2377"/>
      <c r="E68" s="1888"/>
      <c r="F68" s="1888"/>
      <c r="G68" s="1888"/>
      <c r="H68" s="1888"/>
      <c r="I68" s="1888"/>
      <c r="J68" s="2412"/>
      <c r="K68" s="2410" t="str">
        <f>+'CO2 - Cálculos'!AC67</f>
        <v>CDR seco + rejeito aterro</v>
      </c>
      <c r="L68" s="2411">
        <f>+'CO2 - Cálculos'!AK67</f>
        <v>0</v>
      </c>
      <c r="M68" s="2378"/>
      <c r="N68" s="1888"/>
      <c r="O68" s="1888"/>
      <c r="P68" s="1888"/>
      <c r="Q68" s="1888"/>
      <c r="R68" s="1888"/>
      <c r="S68" s="1888"/>
      <c r="T68" s="1888"/>
    </row>
    <row r="69" spans="1:20" ht="18" customHeight="1" x14ac:dyDescent="0.2">
      <c r="A69" s="2232"/>
      <c r="B69" s="2301" t="str">
        <f>+'CO2 - Cálculos'!AC23</f>
        <v>Têxteis</v>
      </c>
      <c r="C69" s="2310">
        <f>+'CO2 - Cálculos'!AK23</f>
        <v>0</v>
      </c>
      <c r="D69" s="2377"/>
      <c r="E69" s="1888"/>
      <c r="F69" s="1888"/>
      <c r="G69" s="1888"/>
      <c r="H69" s="1888"/>
      <c r="I69" s="1888"/>
      <c r="J69" s="2412"/>
      <c r="K69" s="2410" t="str">
        <f>+'CO2 - Cálculos'!AC68</f>
        <v>CDR seco + trat. biol.</v>
      </c>
      <c r="L69" s="2411">
        <f>+'CO2 - Cálculos'!AK68</f>
        <v>0</v>
      </c>
      <c r="M69" s="2378"/>
      <c r="N69" s="1888"/>
      <c r="O69" s="1888"/>
      <c r="P69" s="1888"/>
      <c r="Q69" s="1888"/>
      <c r="R69" s="1888"/>
      <c r="S69" s="1888"/>
      <c r="T69" s="1888"/>
    </row>
    <row r="70" spans="1:20" ht="18" customHeight="1" x14ac:dyDescent="0.2">
      <c r="A70" s="1888"/>
      <c r="B70" s="2363" t="s">
        <v>1256</v>
      </c>
      <c r="C70" s="2377"/>
      <c r="D70" s="2309"/>
      <c r="E70" s="1888"/>
      <c r="F70" s="1888"/>
      <c r="G70" s="1888"/>
      <c r="H70" s="1888"/>
      <c r="I70" s="1888"/>
      <c r="J70" s="2408"/>
      <c r="K70" s="2410" t="str">
        <f>+'CO2 - Cálculos'!AC69</f>
        <v>CDR seco + CDR org.</v>
      </c>
      <c r="L70" s="2411">
        <f>+'CO2 - Cálculos'!AK69</f>
        <v>0</v>
      </c>
      <c r="M70" s="2378"/>
      <c r="N70" s="1888"/>
      <c r="O70" s="1888"/>
      <c r="P70" s="1888"/>
      <c r="Q70" s="1888"/>
      <c r="R70" s="1888"/>
      <c r="S70" s="1888"/>
      <c r="T70" s="1888"/>
    </row>
    <row r="71" spans="1:20" ht="18" customHeight="1" x14ac:dyDescent="0.2">
      <c r="A71" s="1888"/>
      <c r="B71" s="2298" t="str">
        <f>+'CO2 - Cálculos'!AC25</f>
        <v>Resíduos de alimentos</v>
      </c>
      <c r="C71" s="2310">
        <f>+'CO2 - Cálculos'!AK25</f>
        <v>0</v>
      </c>
      <c r="D71" s="2377"/>
      <c r="E71" s="1888"/>
      <c r="F71" s="1888"/>
      <c r="G71" s="1888"/>
      <c r="H71" s="1888"/>
      <c r="I71" s="1888"/>
      <c r="J71" s="2408"/>
      <c r="K71" s="2410" t="str">
        <f>+'CO2 - Cálculos'!AC70</f>
        <v>Incineração</v>
      </c>
      <c r="L71" s="2411">
        <f>+'CO2 - Cálculos'!AK70</f>
        <v>39528.245484926003</v>
      </c>
      <c r="M71" s="2378"/>
      <c r="N71" s="1888"/>
      <c r="O71" s="1888"/>
      <c r="P71" s="1888"/>
      <c r="Q71" s="1888"/>
      <c r="R71" s="1888"/>
      <c r="S71" s="1888"/>
      <c r="T71" s="1888"/>
    </row>
    <row r="72" spans="1:20" ht="18" customHeight="1" x14ac:dyDescent="0.2">
      <c r="A72" s="1888"/>
      <c r="B72" s="2298" t="str">
        <f>+'CO2 - Cálculos'!AC26</f>
        <v>Resíduos de jardins e parques</v>
      </c>
      <c r="C72" s="2310">
        <f>+'CO2 - Cálculos'!AK26</f>
        <v>0</v>
      </c>
      <c r="D72" s="2377"/>
      <c r="E72" s="1888"/>
      <c r="F72" s="1888"/>
      <c r="G72" s="1888"/>
      <c r="H72" s="1888"/>
      <c r="I72" s="1888"/>
      <c r="J72" s="2408"/>
      <c r="K72" s="2413" t="s">
        <v>1256</v>
      </c>
      <c r="L72" s="2378"/>
      <c r="M72" s="2378"/>
      <c r="N72" s="1888"/>
      <c r="O72" s="1888"/>
      <c r="P72" s="1888"/>
      <c r="Q72" s="1888"/>
      <c r="R72" s="1888"/>
      <c r="S72" s="1888"/>
      <c r="T72" s="1888"/>
    </row>
    <row r="73" spans="1:20" ht="18" customHeight="1" x14ac:dyDescent="0.2">
      <c r="A73" s="1888"/>
      <c r="B73" s="2298" t="str">
        <f>+'CO2 - Cálculos'!AC27</f>
        <v>Papel, papelão</v>
      </c>
      <c r="C73" s="2310">
        <f>+'CO2 - Cálculos'!AK27</f>
        <v>-9859.1469840000009</v>
      </c>
      <c r="D73" s="2377"/>
      <c r="E73" s="1888"/>
      <c r="F73" s="1888"/>
      <c r="G73" s="1888"/>
      <c r="H73" s="1888"/>
      <c r="I73" s="1888"/>
      <c r="J73" s="2408"/>
      <c r="K73" s="2410" t="str">
        <f>+'CO2 - Cálculos'!AC72</f>
        <v>Resíduos dispersos</v>
      </c>
      <c r="L73" s="2414">
        <f>+'CO2 - Cálculos'!AK72</f>
        <v>0</v>
      </c>
      <c r="M73" s="2378"/>
      <c r="N73" s="1888"/>
      <c r="O73" s="1888"/>
      <c r="P73" s="1888"/>
      <c r="Q73" s="1888"/>
      <c r="R73" s="1888"/>
      <c r="S73" s="1888"/>
      <c r="T73" s="1888"/>
    </row>
    <row r="74" spans="1:20" ht="18" customHeight="1" x14ac:dyDescent="0.2">
      <c r="A74" s="1888"/>
      <c r="B74" s="2298" t="str">
        <f>+'CO2 - Cálculos'!AC28</f>
        <v>Plásticos</v>
      </c>
      <c r="C74" s="2310">
        <f>+'CO2 - Cálculos'!AK28</f>
        <v>-8281.2747600000002</v>
      </c>
      <c r="D74" s="2377"/>
      <c r="E74" s="1888"/>
      <c r="F74" s="1888"/>
      <c r="G74" s="1888"/>
      <c r="H74" s="1888"/>
      <c r="I74" s="1888"/>
      <c r="J74" s="2408"/>
      <c r="K74" s="2410" t="str">
        <f>+'CO2 - Cálculos'!AC73</f>
        <v>Queima a céu aberto</v>
      </c>
      <c r="L74" s="2414">
        <f>+'CO2 - Cálculos'!AK73</f>
        <v>0</v>
      </c>
      <c r="M74" s="2378"/>
      <c r="N74" s="1888"/>
      <c r="O74" s="1888"/>
      <c r="P74" s="1888"/>
      <c r="Q74" s="1888"/>
      <c r="R74" s="1888"/>
      <c r="S74" s="1888"/>
      <c r="T74" s="1888"/>
    </row>
    <row r="75" spans="1:20" ht="18" customHeight="1" x14ac:dyDescent="0.2">
      <c r="A75" s="1888"/>
      <c r="B75" s="2298" t="str">
        <f>+'CO2 - Cálculos'!AC29</f>
        <v>Vidros</v>
      </c>
      <c r="C75" s="2310">
        <f>+'CO2 - Cálculos'!AK29</f>
        <v>0</v>
      </c>
      <c r="D75" s="2377"/>
      <c r="E75" s="1888"/>
      <c r="F75" s="1888"/>
      <c r="G75" s="1888"/>
      <c r="H75" s="1888"/>
      <c r="I75" s="1888"/>
      <c r="J75" s="2408"/>
      <c r="K75" s="2410" t="str">
        <f>+'CO2 - Cálculos'!AC74</f>
        <v>Lixão não controlado</v>
      </c>
      <c r="L75" s="2414">
        <f>+'CO2 - Cálculos'!AK74</f>
        <v>0</v>
      </c>
      <c r="M75" s="2378"/>
      <c r="N75" s="1888"/>
      <c r="O75" s="1888"/>
      <c r="P75" s="1888"/>
      <c r="Q75" s="1888"/>
      <c r="R75" s="1888"/>
      <c r="S75" s="1888"/>
      <c r="T75" s="1888"/>
    </row>
    <row r="76" spans="1:20" ht="18" customHeight="1" x14ac:dyDescent="0.2">
      <c r="A76" s="1888"/>
      <c r="B76" s="2298" t="str">
        <f>+'CO2 - Cálculos'!AC30</f>
        <v>Metais ferrosos</v>
      </c>
      <c r="C76" s="2310">
        <f>+'CO2 - Cálculos'!AK30</f>
        <v>-5461.4512000000004</v>
      </c>
      <c r="D76" s="2377"/>
      <c r="E76" s="1888"/>
      <c r="F76" s="1888"/>
      <c r="G76" s="1888"/>
      <c r="H76" s="1888"/>
      <c r="I76" s="1888"/>
      <c r="J76" s="2408"/>
      <c r="K76" s="2410" t="str">
        <f>+'CO2 - Cálculos'!AC75</f>
        <v>Aterro controlado</v>
      </c>
      <c r="L76" s="2414">
        <f>+'CO2 - Cálculos'!AK75</f>
        <v>0</v>
      </c>
      <c r="M76" s="2378"/>
      <c r="N76" s="1888"/>
      <c r="O76" s="1888"/>
      <c r="P76" s="1888"/>
      <c r="Q76" s="1888"/>
      <c r="R76" s="1888"/>
      <c r="S76" s="1888"/>
      <c r="T76" s="1888"/>
    </row>
    <row r="77" spans="1:20" ht="18" customHeight="1" x14ac:dyDescent="0.2">
      <c r="A77" s="1888"/>
      <c r="B77" s="2298" t="str">
        <f>+'CO2 - Cálculos'!AC31</f>
        <v>Alumínio</v>
      </c>
      <c r="C77" s="2310">
        <f>+'CO2 - Cálculos'!AK31</f>
        <v>-8222.1359999999986</v>
      </c>
      <c r="D77" s="2377"/>
      <c r="E77" s="1888"/>
      <c r="F77" s="1888"/>
      <c r="G77" s="1888"/>
      <c r="H77" s="1888"/>
      <c r="I77" s="1888"/>
      <c r="J77" s="2412"/>
      <c r="K77" s="2410" t="str">
        <f>+'CO2 - Cálculos'!AC76</f>
        <v>Aterro sanitário</v>
      </c>
      <c r="L77" s="2414">
        <f>+'CO2 - Cálculos'!AK76</f>
        <v>0</v>
      </c>
      <c r="M77" s="2378"/>
      <c r="N77" s="1888"/>
      <c r="O77" s="1888"/>
      <c r="P77" s="1888"/>
      <c r="Q77" s="1888"/>
      <c r="R77" s="1888"/>
      <c r="S77" s="1888"/>
      <c r="T77" s="1888"/>
    </row>
    <row r="78" spans="1:20" ht="18" customHeight="1" x14ac:dyDescent="0.2">
      <c r="A78" s="1888"/>
      <c r="B78" s="2298" t="str">
        <f>+'CO2 - Cálculos'!AC32</f>
        <v>Têxteis</v>
      </c>
      <c r="C78" s="2310">
        <f>+'CO2 - Cálculos'!AK32</f>
        <v>0</v>
      </c>
      <c r="D78" s="2377"/>
      <c r="E78" s="1888"/>
      <c r="F78" s="1888"/>
      <c r="G78" s="1888"/>
      <c r="H78" s="1888"/>
      <c r="I78" s="1888"/>
      <c r="J78" s="2412"/>
      <c r="K78" s="2410" t="str">
        <f>+'CO2 - Cálculos'!AC77</f>
        <v>Trat. biol + cobertura at.</v>
      </c>
      <c r="L78" s="2414">
        <f>+'CO2 - Cálculos'!AK77</f>
        <v>0</v>
      </c>
      <c r="M78" s="2378"/>
      <c r="N78" s="1888"/>
      <c r="O78" s="1888"/>
      <c r="P78" s="1888"/>
      <c r="Q78" s="1888"/>
      <c r="R78" s="1888"/>
      <c r="S78" s="1888"/>
      <c r="T78" s="1888"/>
    </row>
    <row r="79" spans="1:20" ht="18" customHeight="1" x14ac:dyDescent="0.2">
      <c r="A79" s="1888"/>
      <c r="B79" s="2363" t="s">
        <v>1257</v>
      </c>
      <c r="C79" s="2377"/>
      <c r="D79" s="2309"/>
      <c r="E79" s="1888"/>
      <c r="F79" s="1888"/>
      <c r="G79" s="1888"/>
      <c r="H79" s="1888"/>
      <c r="I79" s="1888"/>
      <c r="J79" s="2412"/>
      <c r="K79" s="2410" t="str">
        <f>+'CO2 - Cálculos'!AC78</f>
        <v>CDR seco + rejeito aterro</v>
      </c>
      <c r="L79" s="2414">
        <f>+'CO2 - Cálculos'!AK78</f>
        <v>0</v>
      </c>
      <c r="M79" s="2378"/>
      <c r="N79" s="1888"/>
      <c r="O79" s="1888"/>
      <c r="P79" s="1888"/>
      <c r="Q79" s="1888"/>
      <c r="R79" s="1888"/>
      <c r="S79" s="1888"/>
      <c r="T79" s="1888"/>
    </row>
    <row r="80" spans="1:20" ht="18" customHeight="1" x14ac:dyDescent="0.2">
      <c r="A80" s="1888"/>
      <c r="B80" s="2363" t="s">
        <v>1258</v>
      </c>
      <c r="C80" s="2377"/>
      <c r="D80" s="2310">
        <f>SUM(C62:C69,C71:C78)</f>
        <v>-21262.545896</v>
      </c>
      <c r="E80" s="1888"/>
      <c r="F80" s="1888"/>
      <c r="G80" s="1888"/>
      <c r="H80" s="1888"/>
      <c r="I80" s="1888"/>
      <c r="J80" s="2408"/>
      <c r="K80" s="2410" t="str">
        <f>+'CO2 - Cálculos'!AC79</f>
        <v>CDR seco + trat. biol.</v>
      </c>
      <c r="L80" s="2414">
        <f>+'CO2 - Cálculos'!AK79</f>
        <v>0</v>
      </c>
      <c r="M80" s="2378"/>
      <c r="N80" s="1888"/>
      <c r="O80" s="1888"/>
      <c r="P80" s="1888"/>
      <c r="Q80" s="1888"/>
      <c r="R80" s="1888"/>
      <c r="S80" s="1888"/>
      <c r="T80" s="1888"/>
    </row>
    <row r="81" spans="1:20" ht="18" customHeight="1" x14ac:dyDescent="0.2">
      <c r="A81" s="1888"/>
      <c r="B81" s="1888"/>
      <c r="C81" s="1888"/>
      <c r="D81" s="1888"/>
      <c r="E81" s="1888"/>
      <c r="F81" s="1888"/>
      <c r="G81" s="1888"/>
      <c r="H81" s="1888"/>
      <c r="I81" s="1888"/>
      <c r="J81" s="2408"/>
      <c r="K81" s="2410" t="str">
        <f>+'CO2 - Cálculos'!AC80</f>
        <v>CDR seco + CDR org.</v>
      </c>
      <c r="L81" s="2414">
        <f>+'CO2 - Cálculos'!AK80</f>
        <v>0</v>
      </c>
      <c r="M81" s="2378"/>
      <c r="N81" s="1888"/>
      <c r="O81" s="1888"/>
      <c r="P81" s="1888"/>
      <c r="Q81" s="1888"/>
      <c r="R81" s="1888"/>
      <c r="S81" s="1888"/>
      <c r="T81" s="1888"/>
    </row>
    <row r="82" spans="1:20" ht="18" customHeight="1" x14ac:dyDescent="0.2">
      <c r="A82" s="1888"/>
      <c r="B82" s="1888"/>
      <c r="C82" s="1888"/>
      <c r="D82" s="1888"/>
      <c r="E82" s="2265"/>
      <c r="F82" s="1888"/>
      <c r="G82" s="1888"/>
      <c r="H82" s="1888"/>
      <c r="I82" s="1888"/>
      <c r="J82" s="2408"/>
      <c r="K82" s="2410" t="str">
        <f>+'CO2 - Cálculos'!AC81</f>
        <v>Incineração</v>
      </c>
      <c r="L82" s="2414">
        <f>+'CO2 - Cálculos'!AK81</f>
        <v>-2810.5079200893747</v>
      </c>
      <c r="M82" s="2378"/>
      <c r="N82" s="1888"/>
      <c r="O82" s="1888"/>
      <c r="P82" s="1888"/>
      <c r="Q82" s="1888"/>
      <c r="R82" s="1888"/>
      <c r="S82" s="1888"/>
      <c r="T82" s="1888"/>
    </row>
    <row r="83" spans="1:20" ht="18" customHeight="1" x14ac:dyDescent="0.2">
      <c r="A83" s="1888"/>
      <c r="B83" s="1888"/>
      <c r="C83" s="1888"/>
      <c r="D83" s="1888"/>
      <c r="E83" s="2265"/>
      <c r="F83" s="1888"/>
      <c r="G83" s="1888"/>
      <c r="H83" s="1888"/>
      <c r="I83" s="1888"/>
      <c r="J83" s="2408"/>
      <c r="K83" s="2413" t="s">
        <v>1257</v>
      </c>
      <c r="L83" s="2378"/>
      <c r="M83" s="2378"/>
      <c r="N83" s="1888"/>
      <c r="O83" s="1888"/>
      <c r="P83" s="1888"/>
      <c r="Q83" s="1888"/>
      <c r="R83" s="1888"/>
      <c r="S83" s="1888"/>
      <c r="T83" s="1888"/>
    </row>
    <row r="84" spans="1:20" ht="18" customHeight="1" x14ac:dyDescent="0.2">
      <c r="A84" s="1888"/>
      <c r="B84" s="1888"/>
      <c r="C84" s="1888"/>
      <c r="D84" s="1888"/>
      <c r="E84" s="2265"/>
      <c r="F84" s="1888"/>
      <c r="G84" s="1888"/>
      <c r="H84" s="1888"/>
      <c r="I84" s="1888"/>
      <c r="J84" s="2408"/>
      <c r="K84" s="2413" t="s">
        <v>1258</v>
      </c>
      <c r="L84" s="2378"/>
      <c r="M84" s="2415">
        <f>SUM(L62:L71,L73:L82)</f>
        <v>63179.010027641685</v>
      </c>
      <c r="N84" s="1888"/>
      <c r="O84" s="1888"/>
      <c r="P84" s="1888"/>
      <c r="Q84" s="1888"/>
      <c r="R84" s="1888"/>
      <c r="S84" s="1888"/>
      <c r="T84" s="1888"/>
    </row>
    <row r="85" spans="1:20" ht="18" customHeight="1"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88E2C-5305-4D01-943D-8119163B6092}">
  <dimension ref="A1:AZ141"/>
  <sheetViews>
    <sheetView zoomScale="68" zoomScaleNormal="70" zoomScaleSheetLayoutView="40" workbookViewId="0">
      <selection activeCell="L13" sqref="L13"/>
    </sheetView>
  </sheetViews>
  <sheetFormatPr defaultColWidth="11.42578125" defaultRowHeight="12.75" x14ac:dyDescent="0.2"/>
  <cols>
    <col min="1" max="1" width="21.28515625" style="1844" customWidth="1"/>
    <col min="2" max="2" width="36.5703125" style="1844" bestFit="1" customWidth="1"/>
    <col min="3" max="3" width="14.140625" style="1844" customWidth="1"/>
    <col min="4" max="10" width="13.42578125" style="1844" bestFit="1" customWidth="1"/>
    <col min="11" max="16384" width="11.42578125" style="1844"/>
  </cols>
  <sheetData>
    <row r="1" spans="1:24" s="2227" customFormat="1" ht="26.1" customHeight="1" x14ac:dyDescent="0.2">
      <c r="A1" s="1910" t="s">
        <v>1268</v>
      </c>
      <c r="B1" s="1983"/>
      <c r="C1" s="1983"/>
      <c r="D1" s="1983"/>
      <c r="E1" s="1983"/>
      <c r="F1" s="1983"/>
      <c r="G1" s="1983"/>
      <c r="H1" s="1983"/>
      <c r="I1" s="1983"/>
      <c r="J1" s="1983"/>
      <c r="K1" s="2226"/>
      <c r="L1" s="2226"/>
      <c r="M1" s="2226"/>
      <c r="N1" s="2226"/>
      <c r="O1" s="2226"/>
      <c r="P1" s="2226"/>
      <c r="Q1" s="2226"/>
      <c r="R1" s="2226"/>
      <c r="S1" s="2226"/>
      <c r="T1" s="2226"/>
      <c r="U1" s="2226"/>
      <c r="V1" s="2226"/>
      <c r="W1" s="2226"/>
      <c r="X1" s="2226"/>
    </row>
    <row r="2" spans="1:24" ht="41.45" customHeight="1" x14ac:dyDescent="0.25">
      <c r="A2" s="2399"/>
      <c r="B2" s="1955"/>
      <c r="C2" s="2268" t="str">
        <f>+'CO2 - Reciclagem'!E8</f>
        <v>Cenário-Base</v>
      </c>
      <c r="D2" s="2416" t="str">
        <f>+'CO2 - Reciclagem'!G8</f>
        <v>Biodigestão RT1A + CDR TM</v>
      </c>
      <c r="E2" s="2416" t="str">
        <f>+'CO2 - Reciclagem'!H8</f>
        <v>Biodigestão RT1B + CDR TM</v>
      </c>
      <c r="F2" s="2416" t="str">
        <f>+'CO2 - Reciclagem'!I8</f>
        <v>Biodigestão RT1C + CDR TM</v>
      </c>
      <c r="G2" s="2416" t="str">
        <f>+'CO2 - Reciclagem'!J8</f>
        <v>Compostagem + CDR TM</v>
      </c>
      <c r="H2" s="2416" t="str">
        <f>+'CO2 - Reciclagem'!K8</f>
        <v xml:space="preserve">Biosecagem + CDR TMB </v>
      </c>
      <c r="I2" s="2416" t="str">
        <f>+'CO2 - Reciclagem'!L8</f>
        <v>Incineração Mass Burning</v>
      </c>
      <c r="J2" s="2416" t="str">
        <f>+'CO2 - Reciclagem'!M8</f>
        <v>Incineração Mass Burn. Descentralizada</v>
      </c>
      <c r="K2" s="1888"/>
      <c r="L2" s="1888"/>
      <c r="M2" s="1888"/>
      <c r="N2" s="1888"/>
      <c r="O2" s="1888"/>
      <c r="P2" s="1888"/>
      <c r="Q2" s="1888"/>
      <c r="R2" s="1888"/>
      <c r="S2" s="1888"/>
      <c r="T2" s="1888"/>
      <c r="U2" s="1888"/>
      <c r="V2" s="1888"/>
      <c r="W2" s="1888"/>
      <c r="X2" s="1888"/>
    </row>
    <row r="3" spans="1:24" ht="18" customHeight="1" x14ac:dyDescent="0.2">
      <c r="A3" s="1888"/>
      <c r="B3" s="2270" t="s">
        <v>1237</v>
      </c>
      <c r="C3" s="2297">
        <f>+'CO2 - Cálculos'!AD58</f>
        <v>146000</v>
      </c>
      <c r="D3" s="2297">
        <f>+'CO2 - Cálculos'!AE58</f>
        <v>146000</v>
      </c>
      <c r="E3" s="2297">
        <f>+'CO2 - Cálculos'!AF58</f>
        <v>146000</v>
      </c>
      <c r="F3" s="2297">
        <f>+'CO2 - Cálculos'!AG58</f>
        <v>146000</v>
      </c>
      <c r="G3" s="2297">
        <f>+'CO2 - Cálculos'!AH58</f>
        <v>146000</v>
      </c>
      <c r="H3" s="2297">
        <f>+'CO2 - Cálculos'!AI58</f>
        <v>146000</v>
      </c>
      <c r="I3" s="2297">
        <f>+'CO2 - Cálculos'!AJ58</f>
        <v>146000</v>
      </c>
      <c r="J3" s="2297">
        <f>+'CO2 - Cálculos'!AK58</f>
        <v>146000</v>
      </c>
      <c r="K3" s="1888"/>
      <c r="L3" s="1888"/>
      <c r="M3" s="1888"/>
      <c r="N3" s="1888"/>
      <c r="O3" s="1888"/>
      <c r="P3" s="1888"/>
      <c r="Q3" s="1888"/>
      <c r="R3" s="1888"/>
      <c r="S3" s="1888"/>
      <c r="T3" s="1888"/>
      <c r="U3" s="1888"/>
      <c r="V3" s="1888"/>
      <c r="W3" s="1888"/>
      <c r="X3" s="1888"/>
    </row>
    <row r="4" spans="1:24" ht="18" customHeight="1" x14ac:dyDescent="0.25">
      <c r="A4" s="1888"/>
      <c r="B4" s="2285"/>
      <c r="C4" s="2417"/>
      <c r="D4" s="2417"/>
      <c r="E4" s="2417"/>
      <c r="F4" s="2417"/>
      <c r="G4" s="2417"/>
      <c r="H4" s="2417"/>
      <c r="I4" s="2417"/>
      <c r="J4" s="2417"/>
      <c r="K4" s="1888"/>
      <c r="L4" s="1888"/>
      <c r="M4" s="1888"/>
      <c r="N4" s="1888"/>
      <c r="O4" s="1888"/>
      <c r="P4" s="1888"/>
      <c r="Q4" s="1888"/>
      <c r="R4" s="1888"/>
      <c r="S4" s="1888"/>
      <c r="T4" s="1888"/>
      <c r="U4" s="1888"/>
      <c r="V4" s="1888"/>
      <c r="W4" s="1888"/>
      <c r="X4" s="1888"/>
    </row>
    <row r="5" spans="1:24" ht="18" customHeight="1" x14ac:dyDescent="0.2">
      <c r="A5" s="1888"/>
      <c r="B5" s="2270" t="s">
        <v>1238</v>
      </c>
      <c r="C5" s="2297">
        <f>+'CO2 - Cálculos'!AD13</f>
        <v>4730.4000000000005</v>
      </c>
      <c r="D5" s="2297">
        <f>+'CO2 - Cálculos'!AE13</f>
        <v>14727.458000000001</v>
      </c>
      <c r="E5" s="2297">
        <f>+'CO2 - Cálculos'!AF13</f>
        <v>14727.458000000001</v>
      </c>
      <c r="F5" s="2297">
        <f>+'CO2 - Cálculos'!AG13</f>
        <v>14727.458000000001</v>
      </c>
      <c r="G5" s="2297">
        <f>+'CO2 - Cálculos'!AH13</f>
        <v>14727.458000000001</v>
      </c>
      <c r="H5" s="2297">
        <f>+'CO2 - Cálculos'!AI13</f>
        <v>14727.458000000001</v>
      </c>
      <c r="I5" s="2297">
        <f>+'CO2 - Cálculos'!AJ13</f>
        <v>14727.458000000001</v>
      </c>
      <c r="J5" s="2297">
        <f>+'CO2 - Cálculos'!AK13</f>
        <v>14727.458000000001</v>
      </c>
      <c r="K5" s="1888"/>
      <c r="L5" s="1888"/>
      <c r="M5" s="1888"/>
      <c r="N5" s="1888"/>
      <c r="O5" s="2265"/>
      <c r="P5" s="1888"/>
      <c r="Q5" s="1888"/>
      <c r="R5" s="1888"/>
      <c r="S5" s="1888"/>
      <c r="T5" s="1888"/>
      <c r="U5" s="1888"/>
      <c r="V5" s="1888"/>
      <c r="W5" s="1888"/>
      <c r="X5" s="1888"/>
    </row>
    <row r="6" spans="1:24" ht="18" customHeight="1" x14ac:dyDescent="0.2">
      <c r="A6" s="1888"/>
      <c r="B6" s="2418"/>
      <c r="C6" s="2022"/>
      <c r="D6" s="2022"/>
      <c r="E6" s="2022"/>
      <c r="F6" s="2022"/>
      <c r="G6" s="2022"/>
      <c r="H6" s="2022"/>
      <c r="I6" s="2022"/>
      <c r="J6" s="2022"/>
      <c r="K6" s="1888"/>
      <c r="L6" s="1888"/>
      <c r="M6" s="1888"/>
      <c r="N6" s="1888"/>
      <c r="O6" s="1888"/>
      <c r="P6" s="1888"/>
      <c r="Q6" s="1888"/>
      <c r="R6" s="1888"/>
      <c r="S6" s="1888"/>
      <c r="T6" s="1888"/>
      <c r="U6" s="1888"/>
      <c r="V6" s="1888"/>
      <c r="W6" s="1888"/>
      <c r="X6" s="1888"/>
    </row>
    <row r="7" spans="1:24" ht="18" customHeight="1" x14ac:dyDescent="0.2">
      <c r="A7" s="1888"/>
      <c r="B7" s="2224" t="s">
        <v>1107</v>
      </c>
      <c r="C7" s="2297">
        <f>+'CO2 - Cálculos'!AD5</f>
        <v>0</v>
      </c>
      <c r="D7" s="2297">
        <f>+'CO2 - Cálculos'!AE5</f>
        <v>0</v>
      </c>
      <c r="E7" s="2297">
        <f>+'CO2 - Cálculos'!AF5</f>
        <v>0</v>
      </c>
      <c r="F7" s="2297">
        <f>+'CO2 - Cálculos'!AG5</f>
        <v>0</v>
      </c>
      <c r="G7" s="2297">
        <f>+'CO2 - Cálculos'!AH5</f>
        <v>0</v>
      </c>
      <c r="H7" s="2297">
        <f>+'CO2 - Cálculos'!AI5</f>
        <v>0</v>
      </c>
      <c r="I7" s="2297">
        <f>+'CO2 - Cálculos'!AJ5</f>
        <v>0</v>
      </c>
      <c r="J7" s="2297">
        <f>+'CO2 - Cálculos'!AK5</f>
        <v>0</v>
      </c>
      <c r="K7" s="1888"/>
      <c r="L7" s="1888"/>
      <c r="M7" s="1888"/>
      <c r="N7" s="1888"/>
      <c r="O7" s="1888"/>
      <c r="P7" s="1888"/>
      <c r="Q7" s="1888"/>
      <c r="R7" s="1888"/>
      <c r="S7" s="1888"/>
      <c r="T7" s="1888"/>
      <c r="U7" s="1888"/>
      <c r="V7" s="1888"/>
      <c r="W7" s="1888"/>
      <c r="X7" s="1888"/>
    </row>
    <row r="8" spans="1:24" ht="18" customHeight="1" x14ac:dyDescent="0.2">
      <c r="A8" s="1888"/>
      <c r="B8" s="2224" t="s">
        <v>1108</v>
      </c>
      <c r="C8" s="2297">
        <f>+'CO2 - Cálculos'!AD6</f>
        <v>0</v>
      </c>
      <c r="D8" s="2297">
        <f>+'CO2 - Cálculos'!AE6</f>
        <v>0</v>
      </c>
      <c r="E8" s="2297">
        <f>+'CO2 - Cálculos'!AF6</f>
        <v>0</v>
      </c>
      <c r="F8" s="2297">
        <f>+'CO2 - Cálculos'!AG6</f>
        <v>0</v>
      </c>
      <c r="G8" s="2297">
        <f>+'CO2 - Cálculos'!AH6</f>
        <v>0</v>
      </c>
      <c r="H8" s="2297">
        <f>+'CO2 - Cálculos'!AI6</f>
        <v>0</v>
      </c>
      <c r="I8" s="2297">
        <f>+'CO2 - Cálculos'!AJ6</f>
        <v>0</v>
      </c>
      <c r="J8" s="2297">
        <f>+'CO2 - Cálculos'!AK6</f>
        <v>0</v>
      </c>
      <c r="K8" s="1888"/>
      <c r="L8" s="1888"/>
      <c r="M8" s="1888"/>
      <c r="N8" s="1888"/>
      <c r="O8" s="1888"/>
      <c r="P8" s="1888"/>
      <c r="Q8" s="1888"/>
      <c r="R8" s="1888"/>
      <c r="S8" s="1888"/>
      <c r="T8" s="1888"/>
      <c r="U8" s="1888"/>
      <c r="V8" s="1888"/>
      <c r="W8" s="1888"/>
      <c r="X8" s="1888"/>
    </row>
    <row r="9" spans="1:24" ht="18" customHeight="1" x14ac:dyDescent="0.2">
      <c r="A9" s="1888"/>
      <c r="B9" s="2224" t="s">
        <v>1109</v>
      </c>
      <c r="C9" s="2297">
        <f>+'CO2 - Cálculos'!AD7</f>
        <v>1912.6000000000001</v>
      </c>
      <c r="D9" s="2297">
        <f>+'CO2 - Cálculos'!AE7</f>
        <v>6368.9580000000005</v>
      </c>
      <c r="E9" s="2297">
        <f>+'CO2 - Cálculos'!AF7</f>
        <v>6368.9580000000005</v>
      </c>
      <c r="F9" s="2297">
        <f>+'CO2 - Cálculos'!AG7</f>
        <v>6368.9580000000005</v>
      </c>
      <c r="G9" s="2297">
        <f>+'CO2 - Cálculos'!AH7</f>
        <v>6368.9580000000005</v>
      </c>
      <c r="H9" s="2297">
        <f>+'CO2 - Cálculos'!AI7</f>
        <v>6368.9580000000005</v>
      </c>
      <c r="I9" s="2297">
        <f>+'CO2 - Cálculos'!AJ7</f>
        <v>6368.9580000000005</v>
      </c>
      <c r="J9" s="2297">
        <f>+'CO2 - Cálculos'!AK7</f>
        <v>6368.9580000000005</v>
      </c>
      <c r="K9" s="1888"/>
      <c r="L9" s="1888"/>
      <c r="M9" s="1888"/>
      <c r="N9" s="1888"/>
      <c r="O9" s="1888"/>
      <c r="P9" s="1888"/>
      <c r="Q9" s="1888"/>
      <c r="R9" s="1888"/>
      <c r="S9" s="1888"/>
      <c r="T9" s="1888"/>
      <c r="U9" s="1888"/>
      <c r="V9" s="1888"/>
      <c r="W9" s="1888"/>
      <c r="X9" s="1888"/>
    </row>
    <row r="10" spans="1:24" ht="18" customHeight="1" x14ac:dyDescent="0.2">
      <c r="A10" s="1888"/>
      <c r="B10" s="2224" t="s">
        <v>1110</v>
      </c>
      <c r="C10" s="2297">
        <f>+'CO2 - Cálculos'!AD8</f>
        <v>1971</v>
      </c>
      <c r="D10" s="2297">
        <f>+'CO2 - Cálculos'!AE8</f>
        <v>4336.2</v>
      </c>
      <c r="E10" s="2297">
        <f>+'CO2 - Cálculos'!AF8</f>
        <v>4336.2</v>
      </c>
      <c r="F10" s="2297">
        <f>+'CO2 - Cálculos'!AG8</f>
        <v>4336.2</v>
      </c>
      <c r="G10" s="2297">
        <f>+'CO2 - Cálculos'!AH8</f>
        <v>4336.2</v>
      </c>
      <c r="H10" s="2297">
        <f>+'CO2 - Cálculos'!AI8</f>
        <v>4336.2</v>
      </c>
      <c r="I10" s="2297">
        <f>+'CO2 - Cálculos'!AJ8</f>
        <v>4336.2</v>
      </c>
      <c r="J10" s="2297">
        <f>+'CO2 - Cálculos'!AK8</f>
        <v>4336.2</v>
      </c>
      <c r="K10" s="1888"/>
      <c r="L10" s="1888"/>
      <c r="M10" s="1888"/>
      <c r="N10" s="1888"/>
      <c r="O10" s="1888"/>
      <c r="P10" s="1888"/>
      <c r="Q10" s="1888"/>
      <c r="R10" s="1888"/>
      <c r="S10" s="1888"/>
      <c r="T10" s="1888"/>
      <c r="U10" s="1888"/>
      <c r="V10" s="1888"/>
      <c r="W10" s="1888"/>
      <c r="X10" s="1888"/>
    </row>
    <row r="11" spans="1:24" ht="18" customHeight="1" x14ac:dyDescent="0.2">
      <c r="A11" s="1888"/>
      <c r="B11" s="2224" t="s">
        <v>50</v>
      </c>
      <c r="C11" s="2297">
        <f>+'CO2 - Cálculos'!AD9</f>
        <v>0</v>
      </c>
      <c r="D11" s="2297">
        <f>+'CO2 - Cálculos'!AE9</f>
        <v>0</v>
      </c>
      <c r="E11" s="2297">
        <f>+'CO2 - Cálculos'!AF9</f>
        <v>0</v>
      </c>
      <c r="F11" s="2297">
        <f>+'CO2 - Cálculos'!AG9</f>
        <v>0</v>
      </c>
      <c r="G11" s="2297">
        <f>+'CO2 - Cálculos'!AH9</f>
        <v>0</v>
      </c>
      <c r="H11" s="2297">
        <f>+'CO2 - Cálculos'!AI9</f>
        <v>0</v>
      </c>
      <c r="I11" s="2297">
        <f>+'CO2 - Cálculos'!AJ9</f>
        <v>0</v>
      </c>
      <c r="J11" s="2297">
        <f>+'CO2 - Cálculos'!AK9</f>
        <v>0</v>
      </c>
      <c r="K11" s="1888"/>
      <c r="L11" s="1888"/>
      <c r="M11" s="1888"/>
      <c r="N11" s="1888"/>
      <c r="O11" s="1888"/>
      <c r="P11" s="1888"/>
      <c r="Q11" s="1888"/>
      <c r="R11" s="1888"/>
      <c r="S11" s="1888"/>
      <c r="T11" s="1888"/>
      <c r="U11" s="1888"/>
      <c r="V11" s="1888"/>
      <c r="W11" s="1888"/>
      <c r="X11" s="1888"/>
    </row>
    <row r="12" spans="1:24" ht="18" customHeight="1" x14ac:dyDescent="0.2">
      <c r="A12" s="1888"/>
      <c r="B12" s="2224" t="s">
        <v>1111</v>
      </c>
      <c r="C12" s="2297">
        <f>+'CO2 - Cálculos'!AD10</f>
        <v>671.6</v>
      </c>
      <c r="D12" s="2297">
        <f>+'CO2 - Cálculos'!AE10</f>
        <v>3190.1</v>
      </c>
      <c r="E12" s="2297">
        <f>+'CO2 - Cálculos'!AF10</f>
        <v>3190.1</v>
      </c>
      <c r="F12" s="2297">
        <f>+'CO2 - Cálculos'!AG10</f>
        <v>3190.1</v>
      </c>
      <c r="G12" s="2297">
        <f>+'CO2 - Cálculos'!AH10</f>
        <v>3190.1</v>
      </c>
      <c r="H12" s="2297">
        <f>+'CO2 - Cálculos'!AI10</f>
        <v>3190.1</v>
      </c>
      <c r="I12" s="2297">
        <f>+'CO2 - Cálculos'!AJ10</f>
        <v>3190.1</v>
      </c>
      <c r="J12" s="2297">
        <f>+'CO2 - Cálculos'!AK10</f>
        <v>3190.1</v>
      </c>
      <c r="K12" s="1888"/>
      <c r="L12" s="1888"/>
      <c r="M12" s="1888"/>
      <c r="N12" s="1888"/>
      <c r="O12" s="1888"/>
      <c r="P12" s="1888"/>
      <c r="Q12" s="1888"/>
      <c r="R12" s="1888"/>
      <c r="S12" s="1888"/>
      <c r="T12" s="1888"/>
      <c r="U12" s="1888"/>
      <c r="V12" s="1888"/>
      <c r="W12" s="1888"/>
      <c r="X12" s="1888"/>
    </row>
    <row r="13" spans="1:24" ht="18" customHeight="1" x14ac:dyDescent="0.2">
      <c r="A13" s="1888"/>
      <c r="B13" s="2224" t="s">
        <v>1112</v>
      </c>
      <c r="C13" s="2297">
        <f>+'CO2 - Cálculos'!AD11</f>
        <v>175.20000000000002</v>
      </c>
      <c r="D13" s="2297">
        <f>+'CO2 - Cálculos'!AE11</f>
        <v>832.19999999999993</v>
      </c>
      <c r="E13" s="2297">
        <f>+'CO2 - Cálculos'!AF11</f>
        <v>832.19999999999993</v>
      </c>
      <c r="F13" s="2297">
        <f>+'CO2 - Cálculos'!AG11</f>
        <v>832.19999999999993</v>
      </c>
      <c r="G13" s="2297">
        <f>+'CO2 - Cálculos'!AH11</f>
        <v>832.19999999999993</v>
      </c>
      <c r="H13" s="2297">
        <f>+'CO2 - Cálculos'!AI11</f>
        <v>832.19999999999993</v>
      </c>
      <c r="I13" s="2297">
        <f>+'CO2 - Cálculos'!AJ11</f>
        <v>832.19999999999993</v>
      </c>
      <c r="J13" s="2297">
        <f>+'CO2 - Cálculos'!AK11</f>
        <v>832.19999999999993</v>
      </c>
      <c r="K13" s="1888"/>
      <c r="L13" s="1888"/>
      <c r="M13" s="1888"/>
      <c r="N13" s="1888"/>
      <c r="O13" s="1888"/>
      <c r="P13" s="1888"/>
      <c r="Q13" s="1888"/>
      <c r="R13" s="1888"/>
      <c r="S13" s="1888"/>
      <c r="T13" s="1888"/>
      <c r="U13" s="1888"/>
      <c r="V13" s="1888"/>
      <c r="W13" s="1888"/>
      <c r="X13" s="1888"/>
    </row>
    <row r="14" spans="1:24" ht="18" customHeight="1" x14ac:dyDescent="0.2">
      <c r="A14" s="1888"/>
      <c r="B14" s="2224" t="s">
        <v>1113</v>
      </c>
      <c r="C14" s="2297">
        <f>+'CO2 - Cálculos'!AD12</f>
        <v>0</v>
      </c>
      <c r="D14" s="2297">
        <f>+'CO2 - Cálculos'!AE12</f>
        <v>0</v>
      </c>
      <c r="E14" s="2297">
        <f>+'CO2 - Cálculos'!AF12</f>
        <v>0</v>
      </c>
      <c r="F14" s="2297">
        <f>+'CO2 - Cálculos'!AG12</f>
        <v>0</v>
      </c>
      <c r="G14" s="2297">
        <f>+'CO2 - Cálculos'!AH12</f>
        <v>0</v>
      </c>
      <c r="H14" s="2297">
        <f>+'CO2 - Cálculos'!AI12</f>
        <v>0</v>
      </c>
      <c r="I14" s="2297">
        <f>+'CO2 - Cálculos'!AJ12</f>
        <v>0</v>
      </c>
      <c r="J14" s="2297">
        <f>+'CO2 - Cálculos'!AK12</f>
        <v>0</v>
      </c>
      <c r="K14" s="1888"/>
      <c r="L14" s="1888"/>
      <c r="M14" s="1888"/>
      <c r="N14" s="1888"/>
      <c r="O14" s="1888"/>
      <c r="P14" s="1888"/>
      <c r="Q14" s="1888"/>
      <c r="R14" s="1888"/>
      <c r="S14" s="1888"/>
      <c r="T14" s="1888"/>
      <c r="U14" s="1888"/>
      <c r="V14" s="1888"/>
      <c r="W14" s="1888"/>
      <c r="X14" s="1888"/>
    </row>
    <row r="15" spans="1:24" ht="18" customHeight="1" x14ac:dyDescent="0.2">
      <c r="A15" s="1888"/>
      <c r="B15" s="2274"/>
      <c r="C15" s="2419">
        <f>SUM(C9:C13)/C3</f>
        <v>3.2400000000000005E-2</v>
      </c>
      <c r="D15" s="2419">
        <f>SUM(D9:D13)/D3</f>
        <v>0.100873</v>
      </c>
      <c r="E15" s="2419">
        <f>SUM(E9:E13)/E3</f>
        <v>0.100873</v>
      </c>
      <c r="F15" s="2419">
        <f>SUM(F9:F13)/F3</f>
        <v>0.100873</v>
      </c>
      <c r="G15" s="2419">
        <f t="shared" ref="G15:H15" si="0">SUM(G9:G13)/G3</f>
        <v>0.100873</v>
      </c>
      <c r="H15" s="2419">
        <f t="shared" si="0"/>
        <v>0.100873</v>
      </c>
      <c r="I15" s="2419">
        <f t="shared" ref="I15:J15" si="1">SUM(I9:I13)/I3</f>
        <v>0.100873</v>
      </c>
      <c r="J15" s="2419">
        <f t="shared" si="1"/>
        <v>0.100873</v>
      </c>
      <c r="K15" s="1888"/>
      <c r="L15" s="1888"/>
      <c r="M15" s="1888"/>
      <c r="N15" s="1888"/>
      <c r="O15" s="1888"/>
      <c r="P15" s="1888"/>
      <c r="Q15" s="1888"/>
      <c r="R15" s="1888"/>
      <c r="S15" s="1888"/>
      <c r="T15" s="1888"/>
      <c r="U15" s="1888"/>
      <c r="V15" s="1888"/>
      <c r="W15" s="1888"/>
      <c r="X15" s="1888"/>
    </row>
    <row r="16" spans="1:24" ht="18" customHeight="1" x14ac:dyDescent="0.25">
      <c r="A16" s="1888"/>
      <c r="B16" s="2276" t="s">
        <v>1271</v>
      </c>
      <c r="C16" s="2297">
        <f>+'CO2 - Cálculos'!AD57</f>
        <v>141269.6</v>
      </c>
      <c r="D16" s="2297">
        <f>+'CO2 - Cálculos'!AE57</f>
        <v>131272.54199999999</v>
      </c>
      <c r="E16" s="2297">
        <f>+'CO2 - Cálculos'!AF57</f>
        <v>131272.54199999999</v>
      </c>
      <c r="F16" s="2297">
        <f>+'CO2 - Cálculos'!AG57</f>
        <v>131272.54199999999</v>
      </c>
      <c r="G16" s="2297">
        <f>+'CO2 - Cálculos'!AH57</f>
        <v>131272.54199999999</v>
      </c>
      <c r="H16" s="2297">
        <f>+'CO2 - Cálculos'!AI57</f>
        <v>131272.54199999999</v>
      </c>
      <c r="I16" s="2297">
        <f>+'CO2 - Cálculos'!AJ57</f>
        <v>131272.54199999999</v>
      </c>
      <c r="J16" s="2297">
        <f>+'CO2 - Cálculos'!AK57</f>
        <v>131272.54199999999</v>
      </c>
      <c r="K16" s="1888"/>
      <c r="L16" s="1888"/>
      <c r="M16" s="1888"/>
      <c r="N16" s="1888"/>
      <c r="O16" s="2420"/>
      <c r="P16" s="1888"/>
      <c r="Q16" s="1888"/>
      <c r="R16" s="1888"/>
      <c r="S16" s="1888"/>
      <c r="T16" s="1888"/>
      <c r="U16" s="1888"/>
      <c r="V16" s="1888"/>
      <c r="W16" s="1888"/>
      <c r="X16" s="1888"/>
    </row>
    <row r="17" spans="1:52" ht="18" customHeight="1" x14ac:dyDescent="0.2">
      <c r="A17" s="1888"/>
      <c r="B17" s="2418"/>
      <c r="C17" s="2022"/>
      <c r="D17" s="2022"/>
      <c r="E17" s="2022"/>
      <c r="F17" s="2022"/>
      <c r="G17" s="2022"/>
      <c r="H17" s="2022"/>
      <c r="I17" s="2022"/>
      <c r="J17" s="2022"/>
      <c r="K17" s="1888"/>
      <c r="L17" s="1888"/>
      <c r="M17" s="1888"/>
      <c r="N17" s="1888"/>
      <c r="O17" s="1888"/>
      <c r="P17" s="1888"/>
      <c r="Q17" s="1888"/>
      <c r="R17" s="1888"/>
      <c r="S17" s="1888"/>
      <c r="T17" s="1888"/>
      <c r="U17" s="1888"/>
      <c r="V17" s="1888"/>
      <c r="W17" s="1888"/>
      <c r="X17" s="1888"/>
    </row>
    <row r="18" spans="1:52" ht="18" customHeight="1" x14ac:dyDescent="0.2">
      <c r="A18" s="1888"/>
      <c r="B18" s="2224" t="s">
        <v>1242</v>
      </c>
      <c r="C18" s="2297">
        <f>+'CO2 - Cálculos'!AD47</f>
        <v>0</v>
      </c>
      <c r="D18" s="2297">
        <f>+'CO2 - Cálculos'!AE47</f>
        <v>0</v>
      </c>
      <c r="E18" s="2297">
        <f>+'CO2 - Cálculos'!AF47</f>
        <v>0</v>
      </c>
      <c r="F18" s="2297">
        <f>+'CO2 - Cálculos'!AG47</f>
        <v>0</v>
      </c>
      <c r="G18" s="2297">
        <f>+'CO2 - Cálculos'!AH47</f>
        <v>0</v>
      </c>
      <c r="H18" s="2297">
        <f>+'CO2 - Cálculos'!AI47</f>
        <v>0</v>
      </c>
      <c r="I18" s="2297">
        <f>+'CO2 - Cálculos'!AJ47</f>
        <v>0</v>
      </c>
      <c r="J18" s="2297">
        <f>+'CO2 - Cálculos'!AK47</f>
        <v>0</v>
      </c>
      <c r="K18" s="1888"/>
      <c r="L18" s="1888"/>
      <c r="M18" s="1888"/>
      <c r="N18" s="1888"/>
      <c r="O18" s="1888"/>
      <c r="P18" s="1888"/>
      <c r="Q18" s="1888"/>
      <c r="R18" s="1888"/>
      <c r="S18" s="1888"/>
      <c r="T18" s="1888"/>
      <c r="U18" s="1888"/>
      <c r="V18" s="1888"/>
      <c r="W18" s="1888"/>
      <c r="X18" s="1888"/>
    </row>
    <row r="19" spans="1:52" ht="18" customHeight="1" x14ac:dyDescent="0.2">
      <c r="A19" s="1888"/>
      <c r="B19" s="2224" t="s">
        <v>1243</v>
      </c>
      <c r="C19" s="2297">
        <f>+'CO2 - Cálculos'!AD48</f>
        <v>0</v>
      </c>
      <c r="D19" s="2297">
        <f>+'CO2 - Cálculos'!AE48</f>
        <v>0</v>
      </c>
      <c r="E19" s="2297">
        <f>+'CO2 - Cálculos'!AF48</f>
        <v>0</v>
      </c>
      <c r="F19" s="2297">
        <f>+'CO2 - Cálculos'!AG48</f>
        <v>0</v>
      </c>
      <c r="G19" s="2297">
        <f>+'CO2 - Cálculos'!AH48</f>
        <v>0</v>
      </c>
      <c r="H19" s="2297">
        <f>+'CO2 - Cálculos'!AI48</f>
        <v>0</v>
      </c>
      <c r="I19" s="2297">
        <f>+'CO2 - Cálculos'!AJ48</f>
        <v>0</v>
      </c>
      <c r="J19" s="2297">
        <f>+'CO2 - Cálculos'!AK48</f>
        <v>0</v>
      </c>
      <c r="K19" s="1888"/>
      <c r="L19" s="1888"/>
      <c r="M19" s="1888"/>
      <c r="N19" s="1888"/>
      <c r="O19" s="1888"/>
      <c r="P19" s="1888"/>
      <c r="Q19" s="1888"/>
      <c r="R19" s="1888"/>
      <c r="S19" s="1888"/>
      <c r="T19" s="1888"/>
      <c r="U19" s="1888"/>
      <c r="V19" s="1888"/>
      <c r="W19" s="1888"/>
      <c r="X19" s="1888"/>
    </row>
    <row r="20" spans="1:52" ht="18" customHeight="1" x14ac:dyDescent="0.2">
      <c r="A20" s="1888"/>
      <c r="B20" s="2224" t="s">
        <v>1244</v>
      </c>
      <c r="C20" s="2297">
        <f>+'CO2 - Cálculos'!AD49</f>
        <v>0</v>
      </c>
      <c r="D20" s="2297">
        <f>+'CO2 - Cálculos'!AE49</f>
        <v>0</v>
      </c>
      <c r="E20" s="2297">
        <f>+'CO2 - Cálculos'!AF49</f>
        <v>0</v>
      </c>
      <c r="F20" s="2297">
        <f>+'CO2 - Cálculos'!AG49</f>
        <v>0</v>
      </c>
      <c r="G20" s="2297">
        <f>+'CO2 - Cálculos'!AH49</f>
        <v>0</v>
      </c>
      <c r="H20" s="2297">
        <f>+'CO2 - Cálculos'!AI49</f>
        <v>0</v>
      </c>
      <c r="I20" s="2297">
        <f>+'CO2 - Cálculos'!AJ49</f>
        <v>0</v>
      </c>
      <c r="J20" s="2297">
        <f>+'CO2 - Cálculos'!AK49</f>
        <v>0</v>
      </c>
      <c r="K20" s="1888"/>
      <c r="L20" s="1888"/>
      <c r="M20" s="1888"/>
      <c r="N20" s="1888"/>
      <c r="O20" s="1888"/>
      <c r="P20" s="1888"/>
      <c r="Q20" s="1888"/>
      <c r="R20" s="1888"/>
      <c r="S20" s="1888"/>
      <c r="T20" s="1888"/>
      <c r="U20" s="1888"/>
      <c r="V20" s="1888"/>
      <c r="W20" s="1888"/>
      <c r="X20" s="1888"/>
    </row>
    <row r="21" spans="1:52" ht="18" customHeight="1" x14ac:dyDescent="0.2">
      <c r="A21" s="1888"/>
      <c r="B21" s="2224" t="s">
        <v>1245</v>
      </c>
      <c r="C21" s="2297">
        <f>+'CO2 - Cálculos'!AD50</f>
        <v>0</v>
      </c>
      <c r="D21" s="2297">
        <f>+'CO2 - Cálculos'!AE50</f>
        <v>0</v>
      </c>
      <c r="E21" s="2297">
        <f>+'CO2 - Cálculos'!AF50</f>
        <v>0</v>
      </c>
      <c r="F21" s="2297">
        <f>+'CO2 - Cálculos'!AG50</f>
        <v>0</v>
      </c>
      <c r="G21" s="2297">
        <f>+'CO2 - Cálculos'!AH50</f>
        <v>0</v>
      </c>
      <c r="H21" s="2297">
        <f>+'CO2 - Cálculos'!AI50</f>
        <v>39381.762599999995</v>
      </c>
      <c r="I21" s="2297">
        <f>+'CO2 - Cálculos'!AJ50</f>
        <v>19690.881299999997</v>
      </c>
      <c r="J21" s="2297">
        <f>+'CO2 - Cálculos'!AK50</f>
        <v>19690.881299999997</v>
      </c>
      <c r="K21" s="1888"/>
      <c r="L21" s="1888"/>
      <c r="M21" s="1888"/>
      <c r="N21" s="1888"/>
      <c r="O21" s="1888"/>
      <c r="P21" s="1888"/>
      <c r="Q21" s="1888"/>
      <c r="R21" s="1888"/>
      <c r="S21" s="1888"/>
      <c r="T21" s="1888"/>
      <c r="U21" s="1888"/>
      <c r="V21" s="1888"/>
      <c r="W21" s="1888"/>
      <c r="X21" s="1888"/>
    </row>
    <row r="22" spans="1:52" ht="18" customHeight="1" x14ac:dyDescent="0.2">
      <c r="A22" s="1888"/>
      <c r="B22" s="2324" t="s">
        <v>64</v>
      </c>
      <c r="C22" s="2297">
        <f>+'CO2 - Cálculos'!AD51</f>
        <v>141269.6</v>
      </c>
      <c r="D22" s="2297">
        <f>+'CO2 - Cálculos'!AE51</f>
        <v>45945.389699999992</v>
      </c>
      <c r="E22" s="2297">
        <f>+'CO2 - Cálculos'!AF51</f>
        <v>45945.389699999992</v>
      </c>
      <c r="F22" s="2297">
        <f>+'CO2 - Cálculos'!AG51</f>
        <v>45945.389699999992</v>
      </c>
      <c r="G22" s="2297">
        <f>+'CO2 - Cálculos'!AH51</f>
        <v>49227.203249999991</v>
      </c>
      <c r="H22" s="2297">
        <f>+'CO2 - Cálculos'!AI51</f>
        <v>0</v>
      </c>
      <c r="I22" s="2297">
        <f>+'CO2 - Cálculos'!AJ51</f>
        <v>0</v>
      </c>
      <c r="J22" s="2297">
        <f>+'CO2 - Cálculos'!AK51</f>
        <v>0</v>
      </c>
      <c r="K22" s="1888"/>
      <c r="L22" s="1888"/>
      <c r="M22" s="1888"/>
      <c r="N22" s="1888"/>
      <c r="O22" s="1888"/>
      <c r="P22" s="1888"/>
      <c r="Q22" s="1888"/>
      <c r="R22" s="1888"/>
      <c r="S22" s="1888"/>
      <c r="T22" s="1888"/>
      <c r="U22" s="1888"/>
      <c r="V22" s="1888"/>
      <c r="W22" s="1888"/>
      <c r="X22" s="1888"/>
    </row>
    <row r="23" spans="1:52" ht="18" customHeight="1" x14ac:dyDescent="0.2">
      <c r="A23" s="1888"/>
      <c r="B23" s="2325" t="s">
        <v>1246</v>
      </c>
      <c r="C23" s="2374">
        <f>+'CO2 - Cálculos'!AD52</f>
        <v>0</v>
      </c>
      <c r="D23" s="2297">
        <f>+'CO2 - Cálculos'!AE52</f>
        <v>0</v>
      </c>
      <c r="E23" s="2297">
        <f>+'CO2 - Cálculos'!AF52</f>
        <v>0</v>
      </c>
      <c r="F23" s="2297">
        <f>+'CO2 - Cálculos'!AG52</f>
        <v>0</v>
      </c>
      <c r="G23" s="2297">
        <f>+'CO2 - Cálculos'!AH52</f>
        <v>82045.338749999995</v>
      </c>
      <c r="H23" s="2297">
        <f>+'CO2 - Cálculos'!AI52</f>
        <v>0</v>
      </c>
      <c r="I23" s="2297">
        <f>+'CO2 - Cálculos'!AJ52</f>
        <v>0</v>
      </c>
      <c r="J23" s="2297">
        <f>+'CO2 - Cálculos'!AK52</f>
        <v>0</v>
      </c>
      <c r="K23" s="1888"/>
      <c r="L23" s="1888"/>
      <c r="M23" s="1888"/>
      <c r="N23" s="1888"/>
      <c r="O23" s="1888"/>
      <c r="P23" s="1888"/>
      <c r="Q23" s="1888"/>
      <c r="R23" s="1888"/>
      <c r="S23" s="1888"/>
      <c r="T23" s="1888"/>
      <c r="U23" s="1888"/>
      <c r="V23" s="1888"/>
      <c r="W23" s="1888"/>
      <c r="X23" s="1888"/>
    </row>
    <row r="24" spans="1:52" ht="18" customHeight="1" x14ac:dyDescent="0.2">
      <c r="A24" s="1888"/>
      <c r="B24" s="2325" t="s">
        <v>1247</v>
      </c>
      <c r="C24" s="2297">
        <f>+'CO2 - Cálculos'!AD53</f>
        <v>0</v>
      </c>
      <c r="D24" s="2297">
        <f>+'CO2 - Cálculos'!AE53</f>
        <v>16409.067749999998</v>
      </c>
      <c r="E24" s="2297">
        <f>+'CO2 - Cálculos'!AF53</f>
        <v>16409.067749999998</v>
      </c>
      <c r="F24" s="2297">
        <f>+'CO2 - Cálculos'!AG53</f>
        <v>16409.067749999998</v>
      </c>
      <c r="G24" s="2297">
        <f>+'CO2 - Cálculos'!AH53</f>
        <v>0</v>
      </c>
      <c r="H24" s="2297">
        <f>+'CO2 - Cálculos'!AI53</f>
        <v>0</v>
      </c>
      <c r="I24" s="2297">
        <f>+'CO2 - Cálculos'!AJ53</f>
        <v>0</v>
      </c>
      <c r="J24" s="2297">
        <f>+'CO2 - Cálculos'!AK53</f>
        <v>0</v>
      </c>
      <c r="K24" s="1888"/>
      <c r="L24" s="1888"/>
      <c r="M24" s="1888"/>
      <c r="N24" s="1888"/>
      <c r="O24" s="1888"/>
      <c r="P24" s="1888"/>
      <c r="Q24" s="1888"/>
      <c r="R24" s="1888"/>
      <c r="S24" s="1888"/>
      <c r="T24" s="1888"/>
      <c r="U24" s="1888"/>
      <c r="V24" s="1888"/>
      <c r="W24" s="1888"/>
      <c r="X24" s="1888"/>
    </row>
    <row r="25" spans="1:52" ht="18" customHeight="1" x14ac:dyDescent="0.2">
      <c r="A25" s="1888"/>
      <c r="B25" s="2325" t="s">
        <v>1248</v>
      </c>
      <c r="C25" s="2297">
        <f>+'CO2 - Cálculos'!AD54</f>
        <v>0</v>
      </c>
      <c r="D25" s="2297">
        <f>+'CO2 - Cálculos'!AE54</f>
        <v>68918.08455</v>
      </c>
      <c r="E25" s="2297">
        <f>+'CO2 - Cálculos'!AF54</f>
        <v>68918.08455</v>
      </c>
      <c r="F25" s="2297">
        <f>+'CO2 - Cálculos'!AG54</f>
        <v>68918.08455</v>
      </c>
      <c r="G25" s="2297">
        <f>+'CO2 - Cálculos'!AH54</f>
        <v>0</v>
      </c>
      <c r="H25" s="2297">
        <f>+'CO2 - Cálculos'!AI54</f>
        <v>0</v>
      </c>
      <c r="I25" s="2297">
        <f>+'CO2 - Cálculos'!AJ54</f>
        <v>0</v>
      </c>
      <c r="J25" s="2297">
        <f>+'CO2 - Cálculos'!AK54</f>
        <v>0</v>
      </c>
      <c r="K25" s="1888"/>
      <c r="L25" s="1888"/>
      <c r="M25" s="1888"/>
      <c r="N25" s="1888"/>
      <c r="O25" s="1888"/>
      <c r="P25" s="1888"/>
      <c r="Q25" s="1888"/>
      <c r="R25" s="1888"/>
      <c r="S25" s="1888"/>
      <c r="T25" s="1888"/>
      <c r="U25" s="1888"/>
      <c r="V25" s="1888"/>
      <c r="W25" s="1888"/>
      <c r="X25" s="1888"/>
    </row>
    <row r="26" spans="1:52" ht="18" customHeight="1" x14ac:dyDescent="0.2">
      <c r="A26" s="1888"/>
      <c r="B26" s="2325" t="s">
        <v>1249</v>
      </c>
      <c r="C26" s="2297">
        <f>+'CO2 - Cálculos'!AD55</f>
        <v>0</v>
      </c>
      <c r="D26" s="2297">
        <f>+'CO2 - Cálculos'!AE55</f>
        <v>0</v>
      </c>
      <c r="E26" s="2297">
        <f>+'CO2 - Cálculos'!AF55</f>
        <v>0</v>
      </c>
      <c r="F26" s="2297">
        <f>+'CO2 - Cálculos'!AG55</f>
        <v>0</v>
      </c>
      <c r="G26" s="2297">
        <f>+'CO2 - Cálculos'!AH55</f>
        <v>0</v>
      </c>
      <c r="H26" s="2297">
        <f>+'CO2 - Cálculos'!AI55</f>
        <v>91890.779399999985</v>
      </c>
      <c r="I26" s="2297">
        <f>+'CO2 - Cálculos'!AJ55</f>
        <v>0</v>
      </c>
      <c r="J26" s="2297">
        <f>+'CO2 - Cálculos'!AK55</f>
        <v>0</v>
      </c>
      <c r="K26" s="1888"/>
      <c r="L26" s="1888"/>
      <c r="M26" s="1888"/>
      <c r="N26" s="1888"/>
      <c r="O26" s="1888"/>
      <c r="P26" s="1888"/>
      <c r="Q26" s="1888"/>
      <c r="R26" s="1888"/>
      <c r="S26" s="1888"/>
      <c r="T26" s="1888"/>
      <c r="U26" s="1888"/>
      <c r="V26" s="1888"/>
      <c r="W26" s="1888"/>
      <c r="X26" s="1888"/>
    </row>
    <row r="27" spans="1:52" ht="18" customHeight="1" x14ac:dyDescent="0.2">
      <c r="A27" s="1888"/>
      <c r="B27" s="2224" t="s">
        <v>63</v>
      </c>
      <c r="C27" s="2297">
        <f>+'CO2 - Cálculos'!AD56</f>
        <v>0</v>
      </c>
      <c r="D27" s="2297">
        <f>+'CO2 - Cálculos'!AE56</f>
        <v>0</v>
      </c>
      <c r="E27" s="2297">
        <f>+'CO2 - Cálculos'!AF56</f>
        <v>0</v>
      </c>
      <c r="F27" s="2297">
        <f>+'CO2 - Cálculos'!AG56</f>
        <v>0</v>
      </c>
      <c r="G27" s="2297">
        <f>+'CO2 - Cálculos'!AH56</f>
        <v>0</v>
      </c>
      <c r="H27" s="2297">
        <f>+'CO2 - Cálculos'!AI56</f>
        <v>0</v>
      </c>
      <c r="I27" s="2297">
        <f>+'CO2 - Cálculos'!AJ56</f>
        <v>111581.66069999998</v>
      </c>
      <c r="J27" s="2297">
        <f>+'CO2 - Cálculos'!AK56</f>
        <v>111581.66069999998</v>
      </c>
      <c r="K27" s="1888"/>
      <c r="L27" s="1888"/>
      <c r="M27" s="1888"/>
      <c r="N27" s="1888"/>
      <c r="O27" s="1888"/>
      <c r="P27" s="1888"/>
      <c r="Q27" s="1888"/>
      <c r="R27" s="1888"/>
      <c r="S27" s="1888"/>
      <c r="T27" s="1888"/>
      <c r="U27" s="1888"/>
      <c r="V27" s="1888"/>
      <c r="W27" s="1888"/>
      <c r="X27" s="1888"/>
    </row>
    <row r="28" spans="1:52" x14ac:dyDescent="0.2">
      <c r="A28" s="1888"/>
      <c r="B28" s="1888"/>
      <c r="C28" s="2232"/>
      <c r="D28" s="1888"/>
      <c r="E28" s="1888"/>
      <c r="F28" s="1888"/>
      <c r="G28" s="1888"/>
      <c r="H28" s="1888"/>
      <c r="I28" s="1888"/>
      <c r="J28" s="1888"/>
      <c r="K28" s="1888"/>
      <c r="L28" s="1888"/>
      <c r="M28" s="1888"/>
      <c r="N28" s="1888"/>
      <c r="O28" s="1888"/>
      <c r="P28" s="1888"/>
      <c r="Q28" s="1888"/>
      <c r="R28" s="1888"/>
      <c r="S28" s="1888"/>
      <c r="T28" s="1888"/>
      <c r="U28" s="1888"/>
      <c r="V28" s="1888"/>
      <c r="W28" s="1888"/>
      <c r="X28" s="1888"/>
    </row>
    <row r="29" spans="1:52" s="2227" customFormat="1" ht="26.1" customHeight="1" x14ac:dyDescent="0.25">
      <c r="A29" s="2061" t="s">
        <v>1265</v>
      </c>
      <c r="B29" s="2421"/>
      <c r="C29" s="1954"/>
      <c r="D29" s="1954"/>
      <c r="E29" s="1954"/>
      <c r="F29" s="1954"/>
      <c r="G29" s="1954"/>
      <c r="H29" s="1954"/>
      <c r="I29" s="1954"/>
      <c r="J29" s="1954"/>
      <c r="K29" s="2028"/>
      <c r="L29" s="2028"/>
      <c r="M29" s="2028"/>
      <c r="N29" s="2028"/>
      <c r="O29" s="2028"/>
      <c r="P29" s="2028"/>
      <c r="Q29" s="2028"/>
      <c r="R29" s="2028"/>
      <c r="S29" s="2028"/>
      <c r="T29" s="2028"/>
      <c r="U29" s="2028"/>
      <c r="V29" s="2028"/>
      <c r="W29" s="2028"/>
      <c r="X29" s="2028"/>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c r="AV29" s="1843"/>
      <c r="AW29" s="1843"/>
      <c r="AX29" s="1843"/>
      <c r="AY29" s="1843"/>
      <c r="AZ29" s="1843"/>
    </row>
    <row r="30" spans="1:52" s="2070" customFormat="1" ht="18" customHeight="1" x14ac:dyDescent="0.25">
      <c r="A30" s="1955"/>
      <c r="B30" s="1955"/>
      <c r="C30" s="1955"/>
      <c r="D30" s="1955"/>
      <c r="E30" s="1955"/>
      <c r="F30" s="1955"/>
      <c r="G30" s="1955"/>
      <c r="H30" s="1955"/>
      <c r="I30" s="1955"/>
      <c r="J30" s="1955"/>
      <c r="K30" s="1955"/>
      <c r="L30" s="1955"/>
      <c r="M30" s="1955"/>
      <c r="N30" s="1955"/>
      <c r="O30" s="1955"/>
      <c r="P30" s="1955"/>
      <c r="Q30" s="1955"/>
      <c r="R30" s="1955"/>
      <c r="S30" s="1955"/>
      <c r="T30" s="1955"/>
      <c r="U30" s="1955"/>
      <c r="V30" s="1955"/>
      <c r="W30" s="1955"/>
      <c r="X30" s="1955"/>
    </row>
    <row r="31" spans="1:52" s="2070" customFormat="1" ht="36.6" customHeight="1" x14ac:dyDescent="0.25">
      <c r="A31" s="2422"/>
      <c r="B31" s="2423"/>
      <c r="C31" s="2268" t="str">
        <f t="shared" ref="C31:J31" si="2">+C2</f>
        <v>Cenário-Base</v>
      </c>
      <c r="D31" s="2416" t="str">
        <f t="shared" si="2"/>
        <v>Biodigestão RT1A + CDR TM</v>
      </c>
      <c r="E31" s="2416" t="str">
        <f t="shared" si="2"/>
        <v>Biodigestão RT1B + CDR TM</v>
      </c>
      <c r="F31" s="2416" t="str">
        <f t="shared" si="2"/>
        <v>Biodigestão RT1C + CDR TM</v>
      </c>
      <c r="G31" s="2416" t="str">
        <f t="shared" si="2"/>
        <v>Compostagem + CDR TM</v>
      </c>
      <c r="H31" s="2416" t="str">
        <f t="shared" si="2"/>
        <v xml:space="preserve">Biosecagem + CDR TMB </v>
      </c>
      <c r="I31" s="2416" t="str">
        <f t="shared" si="2"/>
        <v>Incineração Mass Burning</v>
      </c>
      <c r="J31" s="2416" t="str">
        <f t="shared" si="2"/>
        <v>Incineração Mass Burn. Descentralizada</v>
      </c>
      <c r="K31" s="1955"/>
      <c r="L31" s="1955"/>
      <c r="M31" s="1955"/>
      <c r="N31" s="1955"/>
      <c r="O31" s="1955"/>
      <c r="P31" s="1955"/>
      <c r="Q31" s="1955"/>
      <c r="R31" s="1955"/>
      <c r="S31" s="1955"/>
      <c r="T31" s="1955"/>
      <c r="U31" s="1955"/>
      <c r="V31" s="1955"/>
      <c r="W31" s="1955"/>
      <c r="X31" s="1955"/>
    </row>
    <row r="32" spans="1:52" s="2070" customFormat="1" ht="18" customHeight="1" x14ac:dyDescent="0.25">
      <c r="A32" s="2224" t="s">
        <v>1238</v>
      </c>
      <c r="B32" s="2424" t="s">
        <v>1256</v>
      </c>
      <c r="C32" s="2297">
        <f>+'CO2 - Cenário Base'!H53</f>
        <v>3375.4324000000001</v>
      </c>
      <c r="D32" s="2297">
        <f>+'CO2 - Cenário RT 1A'!H53</f>
        <v>10561.463048000001</v>
      </c>
      <c r="E32" s="2297">
        <f>+'CO2 - Cenário RT 1B'!H53</f>
        <v>10561.463048000001</v>
      </c>
      <c r="F32" s="2297">
        <f>+'CO2 - Cenário RT 1C'!H53</f>
        <v>10561.463048000001</v>
      </c>
      <c r="G32" s="2297">
        <f>+'CO2 - Cenário RT 2'!H53</f>
        <v>10561.463048000001</v>
      </c>
      <c r="H32" s="2297">
        <f>+'CO2 - Cenário RT 3'!H53</f>
        <v>10561.463048000001</v>
      </c>
      <c r="I32" s="2297">
        <f>+'CO2 - Cenário RT 4'!H53</f>
        <v>10561.463048000001</v>
      </c>
      <c r="J32" s="2297">
        <f>+'CO2 - Cenário RT 5'!H53</f>
        <v>10561.463048000001</v>
      </c>
      <c r="K32" s="1955"/>
      <c r="L32" s="2425"/>
      <c r="M32" s="1955"/>
      <c r="N32" s="1955"/>
      <c r="O32" s="1955"/>
      <c r="P32" s="1955"/>
      <c r="Q32" s="1955"/>
      <c r="R32" s="1955"/>
      <c r="S32" s="1955"/>
      <c r="T32" s="1955"/>
      <c r="U32" s="1955"/>
      <c r="V32" s="1955"/>
      <c r="W32" s="1955"/>
      <c r="X32" s="1955"/>
    </row>
    <row r="33" spans="1:24" s="2070" customFormat="1" ht="18" customHeight="1" x14ac:dyDescent="0.25">
      <c r="A33" s="2426"/>
      <c r="B33" s="2424" t="s">
        <v>1257</v>
      </c>
      <c r="C33" s="2297">
        <f>+'CO2 - Cenário Base'!H54</f>
        <v>-9605.6758000000009</v>
      </c>
      <c r="D33" s="2297">
        <f>+'CO2 - Cenário RT 1A'!H54</f>
        <v>-31824.008943999997</v>
      </c>
      <c r="E33" s="2297">
        <f>+'CO2 - Cenário RT 1B'!H54</f>
        <v>-31824.008943999997</v>
      </c>
      <c r="F33" s="2297">
        <f>+'CO2 - Cenário RT 1C'!H54</f>
        <v>-31824.008943999997</v>
      </c>
      <c r="G33" s="2297">
        <f>+'CO2 - Cenário RT 2'!H54</f>
        <v>-31824.008943999997</v>
      </c>
      <c r="H33" s="2297">
        <f>+'CO2 - Cenário RT 3'!H54</f>
        <v>-31824.008943999997</v>
      </c>
      <c r="I33" s="2297">
        <f>+'CO2 - Cenário RT 4'!H54</f>
        <v>-31824.008943999997</v>
      </c>
      <c r="J33" s="2297">
        <f>+'CO2 - Cenário RT 5'!H54</f>
        <v>-31824.008943999997</v>
      </c>
      <c r="K33" s="1955"/>
      <c r="L33" s="1955"/>
      <c r="M33" s="1955"/>
      <c r="N33" s="1955"/>
      <c r="O33" s="1955"/>
      <c r="P33" s="1955"/>
      <c r="Q33" s="1955"/>
      <c r="R33" s="1955"/>
      <c r="S33" s="1955"/>
      <c r="T33" s="1955"/>
      <c r="U33" s="1955"/>
      <c r="V33" s="1955"/>
      <c r="W33" s="1955"/>
      <c r="X33" s="1955"/>
    </row>
    <row r="34" spans="1:24" s="2070" customFormat="1" ht="18" customHeight="1" x14ac:dyDescent="0.25">
      <c r="A34" s="2224" t="s">
        <v>1266</v>
      </c>
      <c r="B34" s="2424" t="s">
        <v>1256</v>
      </c>
      <c r="C34" s="2297">
        <f>+'CO2 - Cenário Base'!I53</f>
        <v>167352.43851908133</v>
      </c>
      <c r="D34" s="2297">
        <f>+'CO2 - Cenário RT 1A'!I53</f>
        <v>71149.336779140445</v>
      </c>
      <c r="E34" s="2297">
        <f>+'CO2 - Cenário RT 1B'!I53</f>
        <v>71149.336779140445</v>
      </c>
      <c r="F34" s="2297">
        <f>+'CO2 - Cenário RT 1C'!I53</f>
        <v>70797.19192956874</v>
      </c>
      <c r="G34" s="2297">
        <f>+'CO2 - Cenário RT 2'!I53</f>
        <v>60730.016463997745</v>
      </c>
      <c r="H34" s="2297">
        <f>+'CO2 - Cenário RT 3'!I53</f>
        <v>67220.256893611731</v>
      </c>
      <c r="I34" s="2297">
        <f>+'CO2 - Cenário RT 4'!I53</f>
        <v>65989.517947731059</v>
      </c>
      <c r="J34" s="2297">
        <f>+'CO2 - Cenário RT 5'!I53</f>
        <v>65989.517947731059</v>
      </c>
      <c r="K34" s="1955"/>
      <c r="L34" s="1955"/>
      <c r="M34" s="1955"/>
      <c r="N34" s="1955"/>
      <c r="O34" s="1955"/>
      <c r="P34" s="1955"/>
      <c r="Q34" s="1955"/>
      <c r="R34" s="1955"/>
      <c r="S34" s="1955"/>
      <c r="T34" s="1955"/>
      <c r="U34" s="1955"/>
      <c r="V34" s="1955"/>
      <c r="W34" s="1955"/>
      <c r="X34" s="1955"/>
    </row>
    <row r="35" spans="1:24" s="2070" customFormat="1" ht="18" customHeight="1" x14ac:dyDescent="0.25">
      <c r="A35" s="2426"/>
      <c r="B35" s="2424" t="s">
        <v>1257</v>
      </c>
      <c r="C35" s="2297">
        <f>+'CO2 - Cenário Base'!I54</f>
        <v>0</v>
      </c>
      <c r="D35" s="2297">
        <f>+'CO2 - Cenário RT 1A'!I54</f>
        <v>-43159.643033361666</v>
      </c>
      <c r="E35" s="2297">
        <f>+'CO2 - Cenário RT 1B'!I54</f>
        <v>-49400.064224446083</v>
      </c>
      <c r="F35" s="2297">
        <f>+'CO2 - Cenário RT 1C'!I54</f>
        <v>-42709.450115955238</v>
      </c>
      <c r="G35" s="2297">
        <f>+'CO2 - Cenário RT 2'!I54</f>
        <v>0</v>
      </c>
      <c r="H35" s="2297">
        <f>+'CO2 - Cenário RT 3'!I54</f>
        <v>-80794.489341582099</v>
      </c>
      <c r="I35" s="2297">
        <f>+'CO2 - Cenário RT 4'!I54</f>
        <v>-2810.5079200893747</v>
      </c>
      <c r="J35" s="2297">
        <f>+'CO2 - Cenário RT 5'!I54</f>
        <v>-2810.5079200893747</v>
      </c>
      <c r="K35" s="1955"/>
      <c r="L35" s="1955"/>
      <c r="M35" s="1955"/>
      <c r="N35" s="1955"/>
      <c r="O35" s="1955"/>
      <c r="P35" s="1955"/>
      <c r="Q35" s="1955"/>
      <c r="R35" s="1955"/>
      <c r="S35" s="1955"/>
      <c r="T35" s="1955"/>
      <c r="U35" s="1955"/>
      <c r="V35" s="1955"/>
      <c r="W35" s="1955"/>
      <c r="X35" s="1955"/>
    </row>
    <row r="36" spans="1:24" s="2070" customFormat="1" ht="18" customHeight="1" x14ac:dyDescent="0.25">
      <c r="A36" s="2224" t="s">
        <v>1272</v>
      </c>
      <c r="B36" s="2424" t="s">
        <v>1256</v>
      </c>
      <c r="C36" s="2297">
        <f t="shared" ref="C36:J37" si="3">+C32+C34</f>
        <v>170727.87091908132</v>
      </c>
      <c r="D36" s="2297">
        <f t="shared" si="3"/>
        <v>81710.79982714045</v>
      </c>
      <c r="E36" s="2297">
        <f t="shared" si="3"/>
        <v>81710.79982714045</v>
      </c>
      <c r="F36" s="2297">
        <f t="shared" si="3"/>
        <v>81358.654977568745</v>
      </c>
      <c r="G36" s="2297">
        <f t="shared" si="3"/>
        <v>71291.47951199775</v>
      </c>
      <c r="H36" s="2297">
        <f t="shared" si="3"/>
        <v>77781.719941611736</v>
      </c>
      <c r="I36" s="2297">
        <f t="shared" si="3"/>
        <v>76550.980995731064</v>
      </c>
      <c r="J36" s="2297">
        <f t="shared" si="3"/>
        <v>76550.980995731064</v>
      </c>
      <c r="K36" s="1955"/>
      <c r="L36" s="1955"/>
      <c r="M36" s="1955"/>
      <c r="N36" s="1955"/>
      <c r="O36" s="1955"/>
      <c r="P36" s="1955"/>
      <c r="Q36" s="1955"/>
      <c r="R36" s="1955"/>
      <c r="S36" s="1955"/>
      <c r="T36" s="1955"/>
      <c r="U36" s="1955"/>
      <c r="V36" s="1955"/>
      <c r="W36" s="1955"/>
      <c r="X36" s="1955"/>
    </row>
    <row r="37" spans="1:24" s="2070" customFormat="1" ht="18" customHeight="1" x14ac:dyDescent="0.25">
      <c r="A37" s="2272"/>
      <c r="B37" s="2424" t="s">
        <v>1257</v>
      </c>
      <c r="C37" s="2297">
        <f t="shared" si="3"/>
        <v>-9605.6758000000009</v>
      </c>
      <c r="D37" s="2297">
        <f t="shared" si="3"/>
        <v>-74983.65197736166</v>
      </c>
      <c r="E37" s="2297">
        <f t="shared" si="3"/>
        <v>-81224.073168446077</v>
      </c>
      <c r="F37" s="2297">
        <f t="shared" si="3"/>
        <v>-74533.459059955232</v>
      </c>
      <c r="G37" s="2297">
        <f t="shared" si="3"/>
        <v>-31824.008943999997</v>
      </c>
      <c r="H37" s="2297">
        <f t="shared" si="3"/>
        <v>-112618.4982855821</v>
      </c>
      <c r="I37" s="2297">
        <f t="shared" si="3"/>
        <v>-34634.516864089375</v>
      </c>
      <c r="J37" s="2297">
        <f t="shared" si="3"/>
        <v>-34634.516864089375</v>
      </c>
      <c r="K37" s="1955"/>
      <c r="L37" s="1955"/>
      <c r="M37" s="1955"/>
      <c r="N37" s="1955"/>
      <c r="O37" s="1955"/>
      <c r="P37" s="1955"/>
      <c r="Q37" s="1955"/>
      <c r="R37" s="1955"/>
      <c r="S37" s="1955"/>
      <c r="T37" s="1955"/>
      <c r="U37" s="1955"/>
      <c r="V37" s="1955"/>
      <c r="W37" s="1955"/>
      <c r="X37" s="1955"/>
    </row>
    <row r="38" spans="1:24" s="2070" customFormat="1" ht="18" customHeight="1" x14ac:dyDescent="0.25">
      <c r="A38" s="2272"/>
      <c r="B38" s="2424" t="s">
        <v>1258</v>
      </c>
      <c r="C38" s="2643">
        <f t="shared" ref="C38:J38" si="4">+C36+C37</f>
        <v>161122.19511908133</v>
      </c>
      <c r="D38" s="2643">
        <f t="shared" si="4"/>
        <v>6727.1478497787903</v>
      </c>
      <c r="E38" s="2643">
        <f t="shared" si="4"/>
        <v>486.72665869437333</v>
      </c>
      <c r="F38" s="2643">
        <f t="shared" si="4"/>
        <v>6825.1959176135133</v>
      </c>
      <c r="G38" s="2643">
        <f t="shared" si="4"/>
        <v>39467.470567997749</v>
      </c>
      <c r="H38" s="2643">
        <f t="shared" si="4"/>
        <v>-34836.778343970363</v>
      </c>
      <c r="I38" s="2643">
        <f t="shared" si="4"/>
        <v>41916.464131641689</v>
      </c>
      <c r="J38" s="2643">
        <f t="shared" si="4"/>
        <v>41916.464131641689</v>
      </c>
      <c r="K38" s="1955"/>
      <c r="L38" s="1955"/>
      <c r="M38" s="1955"/>
      <c r="N38" s="1955"/>
      <c r="O38" s="1955"/>
      <c r="P38" s="1955"/>
      <c r="Q38" s="1955"/>
      <c r="R38" s="1955"/>
      <c r="S38" s="1955"/>
      <c r="T38" s="1955"/>
      <c r="U38" s="1955"/>
      <c r="V38" s="1955"/>
      <c r="W38" s="1955"/>
      <c r="X38" s="1955"/>
    </row>
    <row r="39" spans="1:24" s="2070" customFormat="1" ht="18" customHeight="1" x14ac:dyDescent="0.25">
      <c r="A39" s="1955"/>
      <c r="B39" s="1955"/>
      <c r="C39" s="1955"/>
      <c r="D39" s="1955"/>
      <c r="E39" s="1955"/>
      <c r="F39" s="1955"/>
      <c r="G39" s="1955"/>
      <c r="H39" s="1955"/>
      <c r="I39" s="1955"/>
      <c r="J39" s="1955"/>
      <c r="K39" s="1955"/>
      <c r="L39" s="1955"/>
      <c r="M39" s="1955"/>
      <c r="N39" s="1955"/>
      <c r="O39" s="1955"/>
      <c r="P39" s="1955"/>
      <c r="Q39" s="1955"/>
      <c r="R39" s="1955"/>
      <c r="S39" s="1955"/>
      <c r="T39" s="1955"/>
      <c r="U39" s="1955"/>
      <c r="V39" s="1955"/>
      <c r="W39" s="1955"/>
      <c r="X39" s="1955"/>
    </row>
    <row r="40" spans="1:24" x14ac:dyDescent="0.2">
      <c r="A40" s="1888"/>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row>
    <row r="41" spans="1:24" x14ac:dyDescent="0.2">
      <c r="A41" s="1888"/>
      <c r="B41" s="1888"/>
      <c r="C41" s="1888"/>
      <c r="D41" s="1888"/>
      <c r="E41" s="1888"/>
      <c r="F41" s="1888"/>
      <c r="G41" s="1888"/>
      <c r="H41" s="1888"/>
      <c r="I41" s="1888"/>
      <c r="J41" s="1888"/>
      <c r="K41" s="1888"/>
      <c r="L41" s="1888"/>
      <c r="M41" s="1888"/>
      <c r="N41" s="1888"/>
      <c r="O41" s="1888"/>
      <c r="P41" s="1888"/>
      <c r="Q41" s="1888"/>
      <c r="R41" s="1888"/>
      <c r="S41" s="1888"/>
      <c r="T41" s="1888"/>
      <c r="U41" s="1888"/>
      <c r="V41" s="1888"/>
      <c r="W41" s="1888"/>
      <c r="X41" s="1888"/>
    </row>
    <row r="42" spans="1:24" x14ac:dyDescent="0.2">
      <c r="A42" s="1888"/>
      <c r="B42" s="1888"/>
      <c r="C42" s="1888"/>
      <c r="D42" s="1888"/>
      <c r="E42" s="1888"/>
      <c r="F42" s="1888"/>
      <c r="G42" s="1888"/>
      <c r="H42" s="1888"/>
      <c r="I42" s="1888"/>
      <c r="J42" s="1888"/>
      <c r="K42" s="1888"/>
      <c r="L42" s="1888"/>
      <c r="M42" s="1888"/>
      <c r="N42" s="1888"/>
      <c r="O42" s="1888"/>
      <c r="P42" s="1888"/>
      <c r="Q42" s="1888"/>
      <c r="R42" s="1888"/>
      <c r="S42" s="1888"/>
      <c r="T42" s="1888"/>
      <c r="U42" s="1888"/>
      <c r="V42" s="1888"/>
      <c r="W42" s="1888"/>
      <c r="X42" s="1888"/>
    </row>
    <row r="43" spans="1:24" x14ac:dyDescent="0.2">
      <c r="A43" s="1888"/>
      <c r="B43" s="1888"/>
      <c r="C43" s="1888"/>
      <c r="D43" s="1888"/>
      <c r="E43" s="1888"/>
      <c r="F43" s="1888"/>
      <c r="G43" s="1888"/>
      <c r="H43" s="1888"/>
      <c r="I43" s="1888"/>
      <c r="J43" s="1888"/>
      <c r="K43" s="1888"/>
      <c r="L43" s="1888"/>
      <c r="M43" s="1888"/>
      <c r="N43" s="1888"/>
      <c r="O43" s="1888"/>
      <c r="P43" s="1888"/>
      <c r="Q43" s="1888"/>
      <c r="R43" s="1888"/>
      <c r="S43" s="1888"/>
      <c r="T43" s="1888"/>
      <c r="U43" s="1888"/>
      <c r="V43" s="1888"/>
      <c r="W43" s="1888"/>
      <c r="X43" s="1888"/>
    </row>
    <row r="44" spans="1:24" x14ac:dyDescent="0.2">
      <c r="A44" s="1888"/>
      <c r="B44" s="1888"/>
      <c r="C44" s="1888"/>
      <c r="D44" s="1888"/>
      <c r="E44" s="1888"/>
      <c r="F44" s="1888"/>
      <c r="G44" s="1888"/>
      <c r="H44" s="1888"/>
      <c r="I44" s="1888"/>
      <c r="J44" s="1888"/>
      <c r="K44" s="1888"/>
      <c r="L44" s="1888"/>
      <c r="M44" s="1888"/>
      <c r="N44" s="1888"/>
      <c r="O44" s="1888"/>
      <c r="P44" s="1888"/>
      <c r="Q44" s="1888"/>
      <c r="R44" s="1888"/>
      <c r="S44" s="1888"/>
      <c r="T44" s="1888"/>
      <c r="U44" s="1888"/>
      <c r="V44" s="1888"/>
      <c r="W44" s="1888"/>
      <c r="X44" s="1888"/>
    </row>
    <row r="45" spans="1:24" x14ac:dyDescent="0.2">
      <c r="A45" s="1888"/>
      <c r="B45" s="1888"/>
      <c r="C45" s="1888"/>
      <c r="D45" s="1888"/>
      <c r="E45" s="1888"/>
      <c r="F45" s="1888"/>
      <c r="G45" s="1888"/>
      <c r="H45" s="1888"/>
      <c r="I45" s="1888"/>
      <c r="J45" s="1888"/>
      <c r="K45" s="1888"/>
      <c r="L45" s="1888"/>
      <c r="M45" s="1888"/>
      <c r="N45" s="1888"/>
      <c r="O45" s="1888"/>
      <c r="P45" s="1888"/>
      <c r="Q45" s="1888"/>
      <c r="R45" s="1888"/>
      <c r="S45" s="1888"/>
      <c r="T45" s="1888"/>
      <c r="U45" s="1888"/>
      <c r="V45" s="1888"/>
      <c r="W45" s="1888"/>
      <c r="X45" s="1888"/>
    </row>
    <row r="46" spans="1:24" x14ac:dyDescent="0.2">
      <c r="A46" s="1888"/>
      <c r="B46" s="1888"/>
      <c r="C46" s="1888"/>
      <c r="D46" s="1888"/>
      <c r="E46" s="1888"/>
      <c r="F46" s="1888"/>
      <c r="G46" s="1888"/>
      <c r="H46" s="1888"/>
      <c r="I46" s="1888"/>
      <c r="J46" s="1888"/>
      <c r="K46" s="1888"/>
      <c r="L46" s="1888"/>
      <c r="M46" s="1888"/>
      <c r="N46" s="1888"/>
      <c r="O46" s="1888"/>
      <c r="P46" s="1888"/>
      <c r="Q46" s="1888"/>
      <c r="R46" s="1888"/>
      <c r="S46" s="1888"/>
      <c r="T46" s="1888"/>
      <c r="U46" s="1888"/>
      <c r="V46" s="1888"/>
      <c r="W46" s="1888"/>
      <c r="X46" s="1888"/>
    </row>
    <row r="47" spans="1:24" x14ac:dyDescent="0.2">
      <c r="A47" s="1888"/>
      <c r="B47" s="1888"/>
      <c r="C47" s="1888"/>
      <c r="D47" s="1888"/>
      <c r="E47" s="1888"/>
      <c r="F47" s="1888"/>
      <c r="G47" s="1888"/>
      <c r="H47" s="1888"/>
      <c r="I47" s="1888"/>
      <c r="J47" s="1888"/>
      <c r="K47" s="1888"/>
      <c r="L47" s="1888"/>
      <c r="M47" s="1888"/>
      <c r="N47" s="1888"/>
      <c r="O47" s="1888"/>
      <c r="P47" s="1888"/>
      <c r="Q47" s="1888"/>
      <c r="R47" s="1888"/>
      <c r="S47" s="1888"/>
      <c r="T47" s="1888"/>
      <c r="U47" s="1888"/>
      <c r="V47" s="1888"/>
      <c r="W47" s="1888"/>
      <c r="X47" s="1888"/>
    </row>
    <row r="48" spans="1:24" x14ac:dyDescent="0.2">
      <c r="A48" s="1888"/>
      <c r="B48" s="1888"/>
      <c r="C48" s="1888"/>
      <c r="D48" s="1888"/>
      <c r="E48" s="1888"/>
      <c r="F48" s="1888"/>
      <c r="G48" s="1888"/>
      <c r="H48" s="1888"/>
      <c r="I48" s="1888"/>
      <c r="J48" s="1888"/>
      <c r="K48" s="1888"/>
      <c r="L48" s="1888"/>
      <c r="M48" s="1888"/>
      <c r="N48" s="1888"/>
      <c r="O48" s="1888"/>
      <c r="P48" s="1888"/>
      <c r="Q48" s="1888"/>
      <c r="R48" s="1888"/>
      <c r="S48" s="1888"/>
      <c r="T48" s="1888"/>
      <c r="U48" s="1888"/>
      <c r="V48" s="1888"/>
      <c r="W48" s="1888"/>
      <c r="X48" s="1888"/>
    </row>
    <row r="49" spans="1:24" x14ac:dyDescent="0.2">
      <c r="A49" s="1888"/>
      <c r="B49" s="1888"/>
      <c r="C49" s="1888"/>
      <c r="D49" s="1888"/>
      <c r="E49" s="1888"/>
      <c r="F49" s="1888"/>
      <c r="G49" s="1888"/>
      <c r="H49" s="1888"/>
      <c r="I49" s="1888"/>
      <c r="J49" s="1888"/>
      <c r="K49" s="1888"/>
      <c r="L49" s="1888"/>
      <c r="M49" s="1888"/>
      <c r="N49" s="1888"/>
      <c r="O49" s="1888"/>
      <c r="P49" s="1888"/>
      <c r="Q49" s="1888"/>
      <c r="R49" s="1888"/>
      <c r="S49" s="1888"/>
      <c r="T49" s="1888"/>
      <c r="U49" s="1888"/>
      <c r="V49" s="1888"/>
      <c r="W49" s="1888"/>
      <c r="X49" s="1888"/>
    </row>
    <row r="50" spans="1:24" x14ac:dyDescent="0.2">
      <c r="A50" s="1888"/>
      <c r="B50" s="1888"/>
      <c r="C50" s="1888"/>
      <c r="D50" s="1888"/>
      <c r="E50" s="1888"/>
      <c r="F50" s="1888"/>
      <c r="G50" s="1888"/>
      <c r="H50" s="1888"/>
      <c r="I50" s="1888"/>
      <c r="J50" s="1888"/>
      <c r="K50" s="1888"/>
      <c r="L50" s="1888"/>
      <c r="M50" s="1888"/>
      <c r="N50" s="1888"/>
      <c r="O50" s="1888"/>
      <c r="P50" s="1888"/>
      <c r="Q50" s="1888"/>
      <c r="R50" s="1888"/>
      <c r="S50" s="1888"/>
      <c r="T50" s="1888"/>
      <c r="U50" s="1888"/>
      <c r="V50" s="1888"/>
      <c r="W50" s="1888"/>
      <c r="X50" s="1888"/>
    </row>
    <row r="51" spans="1:24" x14ac:dyDescent="0.2">
      <c r="A51" s="1888"/>
      <c r="B51" s="1888"/>
      <c r="C51" s="1888"/>
      <c r="D51" s="1888"/>
      <c r="E51" s="1888"/>
      <c r="F51" s="1888"/>
      <c r="G51" s="1888"/>
      <c r="H51" s="1888"/>
      <c r="I51" s="1888"/>
      <c r="J51" s="1888"/>
      <c r="K51" s="1888"/>
      <c r="L51" s="1888"/>
      <c r="M51" s="1888"/>
      <c r="N51" s="1888"/>
      <c r="O51" s="1888"/>
      <c r="P51" s="1888"/>
      <c r="Q51" s="1888"/>
      <c r="R51" s="1888"/>
      <c r="S51" s="1888"/>
      <c r="T51" s="1888"/>
      <c r="U51" s="1888"/>
      <c r="V51" s="1888"/>
      <c r="W51" s="1888"/>
      <c r="X51" s="1888"/>
    </row>
    <row r="52" spans="1:24" x14ac:dyDescent="0.2">
      <c r="A52" s="1888"/>
      <c r="B52" s="1888"/>
      <c r="C52" s="1888"/>
      <c r="D52" s="1888"/>
      <c r="E52" s="1888"/>
      <c r="F52" s="1888"/>
      <c r="G52" s="1888"/>
      <c r="H52" s="1888"/>
      <c r="I52" s="1888"/>
      <c r="J52" s="1888"/>
      <c r="K52" s="1888"/>
      <c r="L52" s="1888"/>
      <c r="M52" s="1888"/>
      <c r="N52" s="1888"/>
      <c r="O52" s="1888"/>
      <c r="P52" s="1888"/>
      <c r="Q52" s="1888"/>
      <c r="R52" s="1888"/>
      <c r="S52" s="1888"/>
      <c r="T52" s="1888"/>
      <c r="U52" s="1888"/>
      <c r="V52" s="1888"/>
      <c r="W52" s="1888"/>
      <c r="X52" s="1888"/>
    </row>
    <row r="53" spans="1:24" x14ac:dyDescent="0.2">
      <c r="A53" s="1888"/>
      <c r="B53" s="1888"/>
      <c r="C53" s="1888"/>
      <c r="D53" s="1888"/>
      <c r="E53" s="1888"/>
      <c r="F53" s="1888"/>
      <c r="G53" s="1888"/>
      <c r="H53" s="1888"/>
      <c r="I53" s="1888"/>
      <c r="J53" s="1888"/>
      <c r="K53" s="2396"/>
      <c r="L53" s="1888"/>
      <c r="M53" s="1888"/>
      <c r="N53" s="1888"/>
      <c r="O53" s="1888"/>
      <c r="P53" s="1888"/>
      <c r="Q53" s="1888"/>
      <c r="R53" s="1888"/>
      <c r="S53" s="1888"/>
      <c r="T53" s="1888"/>
      <c r="U53" s="1888"/>
      <c r="V53" s="1888"/>
      <c r="W53" s="1888"/>
      <c r="X53" s="1888"/>
    </row>
    <row r="54" spans="1:24" x14ac:dyDescent="0.2">
      <c r="A54" s="1888"/>
      <c r="B54" s="1888"/>
      <c r="C54" s="1888"/>
      <c r="D54" s="1888"/>
      <c r="E54" s="1888"/>
      <c r="F54" s="1888"/>
      <c r="G54" s="1888"/>
      <c r="H54" s="1888"/>
      <c r="I54" s="1888"/>
      <c r="J54" s="1888"/>
      <c r="K54" s="2396"/>
      <c r="L54" s="1888"/>
      <c r="M54" s="1888"/>
      <c r="N54" s="1888"/>
      <c r="O54" s="1888"/>
      <c r="P54" s="1888"/>
      <c r="Q54" s="1888"/>
      <c r="R54" s="1888"/>
      <c r="S54" s="1888"/>
      <c r="T54" s="1888"/>
      <c r="U54" s="1888"/>
      <c r="V54" s="1888"/>
      <c r="W54" s="1888"/>
      <c r="X54" s="1888"/>
    </row>
    <row r="55" spans="1:24" x14ac:dyDescent="0.2">
      <c r="A55" s="1888"/>
      <c r="B55" s="1888"/>
      <c r="C55" s="1888"/>
      <c r="D55" s="1888"/>
      <c r="E55" s="1888"/>
      <c r="F55" s="1888"/>
      <c r="G55" s="1888"/>
      <c r="H55" s="1888"/>
      <c r="I55" s="1888"/>
      <c r="J55" s="1888"/>
      <c r="K55" s="1888"/>
      <c r="L55" s="1888"/>
      <c r="M55" s="1888"/>
      <c r="N55" s="1888"/>
      <c r="O55" s="1888"/>
      <c r="P55" s="1888"/>
      <c r="Q55" s="1888"/>
      <c r="R55" s="1888"/>
      <c r="S55" s="1888"/>
      <c r="T55" s="1888"/>
      <c r="U55" s="1888"/>
      <c r="V55" s="1888"/>
      <c r="W55" s="1888"/>
      <c r="X55" s="1888"/>
    </row>
    <row r="56" spans="1:24" x14ac:dyDescent="0.2">
      <c r="A56" s="1888"/>
      <c r="B56" s="1888"/>
      <c r="C56" s="1888"/>
      <c r="D56" s="1888"/>
      <c r="E56" s="1888"/>
      <c r="F56" s="1888"/>
      <c r="G56" s="1888"/>
      <c r="H56" s="1888"/>
      <c r="I56" s="1888"/>
      <c r="J56" s="1888"/>
      <c r="K56" s="1888"/>
      <c r="L56" s="1888"/>
      <c r="M56" s="1888"/>
      <c r="N56" s="1888"/>
      <c r="O56" s="1888"/>
      <c r="P56" s="1888"/>
      <c r="Q56" s="1888"/>
      <c r="R56" s="1888"/>
      <c r="S56" s="1888"/>
      <c r="T56" s="1888"/>
      <c r="U56" s="1888"/>
      <c r="V56" s="1888"/>
      <c r="W56" s="1888"/>
      <c r="X56" s="1888"/>
    </row>
    <row r="57" spans="1:24" x14ac:dyDescent="0.2">
      <c r="A57" s="1888"/>
      <c r="B57" s="1888"/>
      <c r="C57" s="1888"/>
      <c r="D57" s="1888"/>
      <c r="E57" s="1888"/>
      <c r="F57" s="1888"/>
      <c r="G57" s="1888"/>
      <c r="H57" s="1888"/>
      <c r="I57" s="1888"/>
      <c r="J57" s="1888"/>
      <c r="K57" s="1888"/>
      <c r="L57" s="1888"/>
      <c r="M57" s="1888"/>
      <c r="N57" s="1888"/>
      <c r="O57" s="1888"/>
      <c r="P57" s="1888"/>
      <c r="Q57" s="1888"/>
      <c r="R57" s="1888"/>
      <c r="S57" s="1888"/>
      <c r="T57" s="1888"/>
      <c r="U57" s="1888"/>
      <c r="V57" s="1888"/>
      <c r="W57" s="1888"/>
      <c r="X57" s="1888"/>
    </row>
    <row r="58" spans="1:24" x14ac:dyDescent="0.2">
      <c r="A58" s="1888"/>
      <c r="B58" s="1888"/>
      <c r="C58" s="1888"/>
      <c r="D58" s="1888"/>
      <c r="E58" s="1888"/>
      <c r="F58" s="1888"/>
      <c r="G58" s="1888"/>
      <c r="H58" s="1888"/>
      <c r="I58" s="1888"/>
      <c r="J58" s="1888"/>
      <c r="K58" s="1888"/>
      <c r="L58" s="1888"/>
      <c r="M58" s="1888"/>
      <c r="N58" s="1888"/>
      <c r="O58" s="1888"/>
      <c r="P58" s="1888"/>
      <c r="Q58" s="1888"/>
      <c r="R58" s="1888"/>
      <c r="S58" s="1888"/>
      <c r="T58" s="1888"/>
      <c r="U58" s="1888"/>
      <c r="V58" s="1888"/>
      <c r="W58" s="1888"/>
      <c r="X58" s="1888"/>
    </row>
    <row r="59" spans="1:24" x14ac:dyDescent="0.2">
      <c r="A59" s="1888"/>
      <c r="B59" s="1888"/>
      <c r="C59" s="1888"/>
      <c r="D59" s="1888"/>
      <c r="E59" s="1888"/>
      <c r="F59" s="1888"/>
      <c r="G59" s="1888"/>
      <c r="H59" s="1888"/>
      <c r="I59" s="1888"/>
      <c r="J59" s="1888"/>
      <c r="K59" s="1888"/>
      <c r="L59" s="1888"/>
      <c r="M59" s="1888"/>
      <c r="N59" s="1888"/>
      <c r="O59" s="1888"/>
      <c r="P59" s="1888"/>
      <c r="Q59" s="1888"/>
      <c r="R59" s="1888"/>
      <c r="S59" s="1888"/>
      <c r="T59" s="1888"/>
      <c r="U59" s="1888"/>
      <c r="V59" s="1888"/>
      <c r="W59" s="1888"/>
      <c r="X59" s="1888"/>
    </row>
    <row r="60" spans="1:24" x14ac:dyDescent="0.2">
      <c r="A60" s="1888"/>
      <c r="B60" s="1888"/>
      <c r="C60" s="1888"/>
      <c r="D60" s="1888"/>
      <c r="E60" s="1888"/>
      <c r="F60" s="1888"/>
      <c r="G60" s="1888"/>
      <c r="H60" s="1888"/>
      <c r="I60" s="1888"/>
      <c r="J60" s="1888"/>
      <c r="K60" s="1888"/>
      <c r="L60" s="1888"/>
      <c r="M60" s="1888"/>
      <c r="N60" s="1888"/>
      <c r="O60" s="1888"/>
      <c r="P60" s="1888"/>
      <c r="Q60" s="1888"/>
      <c r="R60" s="1888"/>
      <c r="S60" s="1888"/>
      <c r="T60" s="1888"/>
      <c r="U60" s="1888"/>
      <c r="V60" s="1888"/>
      <c r="W60" s="1888"/>
      <c r="X60" s="1888"/>
    </row>
    <row r="61" spans="1:24" x14ac:dyDescent="0.2">
      <c r="A61" s="1888"/>
      <c r="B61" s="1888"/>
      <c r="C61" s="1888"/>
      <c r="D61" s="1888"/>
      <c r="E61" s="1888"/>
      <c r="F61" s="1888"/>
      <c r="G61" s="1888"/>
      <c r="H61" s="1888"/>
      <c r="I61" s="1888"/>
      <c r="J61" s="1888"/>
      <c r="K61" s="1888"/>
      <c r="L61" s="1888"/>
      <c r="M61" s="1888"/>
      <c r="N61" s="1888"/>
      <c r="O61" s="1888"/>
      <c r="P61" s="1888"/>
      <c r="Q61" s="1888"/>
      <c r="R61" s="1888"/>
      <c r="S61" s="1888"/>
      <c r="T61" s="1888"/>
      <c r="U61" s="1888"/>
      <c r="V61" s="1888"/>
      <c r="W61" s="1888"/>
      <c r="X61" s="1888"/>
    </row>
    <row r="62" spans="1:24" x14ac:dyDescent="0.2">
      <c r="A62" s="1888"/>
      <c r="B62" s="1888"/>
      <c r="C62" s="1888"/>
      <c r="D62" s="1888"/>
      <c r="E62" s="1888"/>
      <c r="F62" s="1888"/>
      <c r="G62" s="1888"/>
      <c r="H62" s="1888"/>
      <c r="I62" s="1888"/>
      <c r="J62" s="1888"/>
      <c r="K62" s="1888"/>
      <c r="L62" s="1888"/>
      <c r="M62" s="1888"/>
      <c r="N62" s="1888"/>
      <c r="O62" s="1888"/>
      <c r="P62" s="1888"/>
      <c r="Q62" s="1888"/>
      <c r="R62" s="1888"/>
      <c r="S62" s="1888"/>
      <c r="T62" s="1888"/>
      <c r="U62" s="1888"/>
      <c r="V62" s="1888"/>
      <c r="W62" s="1888"/>
      <c r="X62" s="1888"/>
    </row>
    <row r="63" spans="1:24" x14ac:dyDescent="0.2">
      <c r="A63" s="1888"/>
      <c r="B63" s="1888"/>
      <c r="C63" s="1888"/>
      <c r="D63" s="1888"/>
      <c r="E63" s="1888"/>
      <c r="F63" s="1888"/>
      <c r="G63" s="1888"/>
      <c r="H63" s="1888"/>
      <c r="I63" s="1888"/>
      <c r="J63" s="1888"/>
      <c r="K63" s="1888"/>
      <c r="L63" s="1888"/>
      <c r="M63" s="1888"/>
      <c r="N63" s="1888"/>
      <c r="O63" s="1888"/>
      <c r="P63" s="1888"/>
      <c r="Q63" s="1888"/>
      <c r="R63" s="1888"/>
      <c r="S63" s="1888"/>
      <c r="T63" s="1888"/>
      <c r="U63" s="1888"/>
      <c r="V63" s="1888"/>
      <c r="W63" s="1888"/>
      <c r="X63" s="1888"/>
    </row>
    <row r="64" spans="1:24" x14ac:dyDescent="0.2">
      <c r="A64" s="1888"/>
      <c r="B64" s="1888"/>
      <c r="C64" s="1888"/>
      <c r="D64" s="1888"/>
      <c r="E64" s="1888"/>
      <c r="F64" s="1888"/>
      <c r="G64" s="1888"/>
      <c r="H64" s="1888"/>
      <c r="I64" s="1888"/>
      <c r="J64" s="1888"/>
      <c r="K64" s="1888"/>
      <c r="L64" s="1888"/>
      <c r="M64" s="1888"/>
      <c r="N64" s="1888"/>
      <c r="O64" s="1888"/>
      <c r="P64" s="1888"/>
      <c r="Q64" s="1888"/>
      <c r="R64" s="1888"/>
      <c r="S64" s="1888"/>
      <c r="T64" s="1888"/>
      <c r="U64" s="1888"/>
      <c r="V64" s="1888"/>
      <c r="W64" s="1888"/>
      <c r="X64" s="1888"/>
    </row>
    <row r="65" spans="1:24" x14ac:dyDescent="0.2">
      <c r="A65" s="1888"/>
      <c r="B65" s="1888"/>
      <c r="C65" s="1888"/>
      <c r="D65" s="1888"/>
      <c r="E65" s="1888"/>
      <c r="F65" s="1888"/>
      <c r="G65" s="1888"/>
      <c r="H65" s="1888"/>
      <c r="I65" s="1888"/>
      <c r="J65" s="1888"/>
      <c r="K65" s="1888"/>
      <c r="L65" s="1888"/>
      <c r="M65" s="1888"/>
      <c r="N65" s="1888"/>
      <c r="O65" s="1888"/>
      <c r="P65" s="1888"/>
      <c r="Q65" s="1888"/>
      <c r="R65" s="1888"/>
      <c r="S65" s="1888"/>
      <c r="T65" s="1888"/>
      <c r="U65" s="1888"/>
      <c r="V65" s="1888"/>
      <c r="W65" s="1888"/>
      <c r="X65" s="1888"/>
    </row>
    <row r="66" spans="1:24" x14ac:dyDescent="0.2">
      <c r="A66" s="1888"/>
      <c r="B66" s="1888"/>
      <c r="C66" s="1888"/>
      <c r="D66" s="1888"/>
      <c r="E66" s="1888"/>
      <c r="F66" s="1888"/>
      <c r="G66" s="1888"/>
      <c r="H66" s="1888"/>
      <c r="I66" s="1888"/>
      <c r="J66" s="1888"/>
      <c r="K66" s="1888"/>
      <c r="L66" s="1888"/>
      <c r="M66" s="1888"/>
      <c r="N66" s="1888"/>
      <c r="O66" s="1888"/>
      <c r="P66" s="1888"/>
      <c r="Q66" s="1888"/>
      <c r="R66" s="1888"/>
      <c r="S66" s="1888"/>
      <c r="T66" s="1888"/>
      <c r="U66" s="1888"/>
      <c r="V66" s="1888"/>
      <c r="W66" s="1888"/>
      <c r="X66" s="1888"/>
    </row>
    <row r="67" spans="1:24" x14ac:dyDescent="0.2">
      <c r="A67" s="1888"/>
      <c r="B67" s="1888"/>
      <c r="C67" s="1888"/>
      <c r="D67" s="1888"/>
      <c r="E67" s="1888"/>
      <c r="F67" s="1888"/>
      <c r="G67" s="1888"/>
      <c r="H67" s="1888"/>
      <c r="I67" s="1888"/>
      <c r="J67" s="1888"/>
      <c r="K67" s="1888"/>
      <c r="L67" s="1888"/>
      <c r="M67" s="1888"/>
      <c r="N67" s="1888"/>
      <c r="O67" s="1888"/>
      <c r="P67" s="1888"/>
      <c r="Q67" s="1888"/>
      <c r="R67" s="1888"/>
      <c r="S67" s="1888"/>
      <c r="T67" s="1888"/>
      <c r="U67" s="1888"/>
      <c r="V67" s="1888"/>
      <c r="W67" s="1888"/>
      <c r="X67" s="1888"/>
    </row>
    <row r="68" spans="1:24" x14ac:dyDescent="0.2">
      <c r="A68" s="1888"/>
      <c r="B68" s="1888"/>
      <c r="C68" s="1888"/>
      <c r="D68" s="1888"/>
      <c r="E68" s="1888"/>
      <c r="F68" s="1888"/>
      <c r="G68" s="1888"/>
      <c r="H68" s="1888"/>
      <c r="I68" s="1888"/>
      <c r="J68" s="1888"/>
      <c r="K68" s="1888"/>
      <c r="L68" s="1888"/>
      <c r="M68" s="1888"/>
      <c r="N68" s="1888"/>
      <c r="O68" s="1888"/>
      <c r="P68" s="1888"/>
      <c r="Q68" s="1888"/>
      <c r="R68" s="1888"/>
      <c r="S68" s="1888"/>
      <c r="T68" s="1888"/>
      <c r="U68" s="1888"/>
      <c r="V68" s="1888"/>
      <c r="W68" s="1888"/>
      <c r="X68" s="1888"/>
    </row>
    <row r="69" spans="1:24" x14ac:dyDescent="0.2">
      <c r="A69" s="1888"/>
      <c r="B69" s="1888"/>
      <c r="C69" s="1888"/>
      <c r="D69" s="1888"/>
      <c r="E69" s="1888"/>
      <c r="F69" s="1888"/>
      <c r="G69" s="1888"/>
      <c r="H69" s="1888"/>
      <c r="I69" s="1888"/>
      <c r="J69" s="1888"/>
      <c r="K69" s="1888"/>
      <c r="L69" s="1888"/>
      <c r="M69" s="1888"/>
      <c r="N69" s="1888"/>
      <c r="O69" s="1888"/>
      <c r="P69" s="1888"/>
      <c r="Q69" s="1888"/>
      <c r="R69" s="1888"/>
      <c r="S69" s="1888"/>
      <c r="T69" s="1888"/>
      <c r="U69" s="1888"/>
      <c r="V69" s="1888"/>
      <c r="W69" s="1888"/>
      <c r="X69" s="1888"/>
    </row>
    <row r="70" spans="1:24" x14ac:dyDescent="0.2">
      <c r="A70" s="1888"/>
      <c r="B70" s="1888"/>
      <c r="C70" s="1888"/>
      <c r="D70" s="1888"/>
      <c r="E70" s="1888"/>
      <c r="F70" s="1888"/>
      <c r="G70" s="1888"/>
      <c r="H70" s="1888"/>
      <c r="I70" s="1888"/>
      <c r="J70" s="1888"/>
      <c r="K70" s="1888"/>
      <c r="L70" s="1888"/>
      <c r="M70" s="1888"/>
      <c r="N70" s="1888"/>
      <c r="O70" s="1888"/>
      <c r="P70" s="1888"/>
      <c r="Q70" s="1888"/>
      <c r="R70" s="1888"/>
      <c r="S70" s="1888"/>
      <c r="T70" s="1888"/>
      <c r="U70" s="1888"/>
      <c r="V70" s="1888"/>
      <c r="W70" s="1888"/>
      <c r="X70" s="1888"/>
    </row>
    <row r="71" spans="1:24" x14ac:dyDescent="0.2">
      <c r="A71" s="1888"/>
      <c r="B71" s="1888"/>
      <c r="C71" s="1888"/>
      <c r="D71" s="1888"/>
      <c r="E71" s="1888"/>
      <c r="F71" s="1888"/>
      <c r="G71" s="1888"/>
      <c r="H71" s="1888"/>
      <c r="I71" s="1888"/>
      <c r="J71" s="1888"/>
      <c r="K71" s="1888"/>
      <c r="L71" s="1888"/>
      <c r="M71" s="1888"/>
      <c r="N71" s="1888"/>
      <c r="O71" s="1888"/>
      <c r="P71" s="1888"/>
      <c r="Q71" s="1888"/>
      <c r="R71" s="1888"/>
      <c r="S71" s="1888"/>
      <c r="T71" s="1888"/>
      <c r="U71" s="1888"/>
      <c r="V71" s="1888"/>
      <c r="W71" s="1888"/>
      <c r="X71" s="1888"/>
    </row>
    <row r="72" spans="1:24" x14ac:dyDescent="0.2">
      <c r="A72" s="1888"/>
      <c r="B72" s="1888"/>
      <c r="C72" s="1888"/>
      <c r="D72" s="1888"/>
      <c r="E72" s="1888"/>
      <c r="F72" s="1888"/>
      <c r="G72" s="1888"/>
      <c r="H72" s="1888"/>
      <c r="I72" s="1888"/>
      <c r="J72" s="1888"/>
      <c r="K72" s="1888"/>
      <c r="L72" s="1888"/>
      <c r="M72" s="1888"/>
      <c r="N72" s="1888"/>
      <c r="O72" s="1888"/>
      <c r="P72" s="1888"/>
      <c r="Q72" s="1888"/>
      <c r="R72" s="1888"/>
      <c r="S72" s="1888"/>
      <c r="T72" s="1888"/>
      <c r="U72" s="1888"/>
      <c r="V72" s="1888"/>
      <c r="W72" s="1888"/>
      <c r="X72" s="1888"/>
    </row>
    <row r="73" spans="1:24" x14ac:dyDescent="0.2">
      <c r="A73" s="1888"/>
      <c r="B73" s="1888"/>
      <c r="C73" s="1888"/>
      <c r="D73" s="1888"/>
      <c r="E73" s="1888"/>
      <c r="F73" s="1888"/>
      <c r="G73" s="1888"/>
      <c r="H73" s="1888"/>
      <c r="I73" s="1888"/>
      <c r="J73" s="1888"/>
      <c r="K73" s="1888"/>
      <c r="L73" s="1888"/>
      <c r="M73" s="1888"/>
      <c r="N73" s="1888"/>
      <c r="O73" s="1888"/>
      <c r="P73" s="1888"/>
      <c r="Q73" s="1888"/>
      <c r="R73" s="1888"/>
      <c r="S73" s="1888"/>
      <c r="T73" s="1888"/>
      <c r="U73" s="1888"/>
      <c r="V73" s="1888"/>
      <c r="W73" s="1888"/>
      <c r="X73" s="1888"/>
    </row>
    <row r="74" spans="1:24" x14ac:dyDescent="0.2">
      <c r="A74" s="1888"/>
      <c r="B74" s="1888"/>
      <c r="C74" s="1888"/>
      <c r="D74" s="1888"/>
      <c r="E74" s="1888"/>
      <c r="F74" s="1888"/>
      <c r="G74" s="1888"/>
      <c r="H74" s="1888"/>
      <c r="I74" s="1888"/>
      <c r="J74" s="1888"/>
      <c r="K74" s="1888"/>
      <c r="L74" s="1888"/>
      <c r="M74" s="1888"/>
      <c r="N74" s="1888"/>
      <c r="O74" s="1888"/>
      <c r="P74" s="1888"/>
      <c r="Q74" s="1888"/>
      <c r="R74" s="1888"/>
      <c r="S74" s="1888"/>
      <c r="T74" s="1888"/>
      <c r="U74" s="1888"/>
      <c r="V74" s="1888"/>
      <c r="W74" s="1888"/>
      <c r="X74" s="1888"/>
    </row>
    <row r="75" spans="1:24" x14ac:dyDescent="0.2">
      <c r="A75" s="1888"/>
      <c r="B75" s="1888"/>
      <c r="C75" s="1888"/>
      <c r="D75" s="1888"/>
      <c r="E75" s="1888"/>
      <c r="F75" s="1888"/>
      <c r="G75" s="1888"/>
      <c r="H75" s="1888"/>
      <c r="I75" s="1888"/>
      <c r="J75" s="1888"/>
      <c r="K75" s="1888"/>
      <c r="L75" s="1888"/>
      <c r="M75" s="1888"/>
      <c r="N75" s="1888"/>
      <c r="O75" s="1888"/>
      <c r="P75" s="1888"/>
      <c r="Q75" s="1888"/>
      <c r="R75" s="1888"/>
      <c r="S75" s="1888"/>
      <c r="T75" s="1888"/>
      <c r="U75" s="1888"/>
      <c r="V75" s="1888"/>
      <c r="W75" s="1888"/>
      <c r="X75" s="1888"/>
    </row>
    <row r="76" spans="1:24" x14ac:dyDescent="0.2">
      <c r="A76" s="1888"/>
      <c r="B76" s="1888"/>
      <c r="C76" s="1888"/>
      <c r="D76" s="1888"/>
      <c r="E76" s="1888"/>
      <c r="F76" s="1888"/>
      <c r="G76" s="1888"/>
      <c r="H76" s="1888"/>
      <c r="I76" s="1888"/>
      <c r="J76" s="1888"/>
      <c r="K76" s="1888"/>
      <c r="L76" s="1888"/>
      <c r="M76" s="1888"/>
      <c r="N76" s="1888"/>
      <c r="O76" s="1888"/>
      <c r="P76" s="1888"/>
      <c r="Q76" s="1888"/>
      <c r="R76" s="1888"/>
      <c r="S76" s="1888"/>
      <c r="T76" s="1888"/>
      <c r="U76" s="1888"/>
      <c r="V76" s="1888"/>
      <c r="W76" s="1888"/>
      <c r="X76" s="1888"/>
    </row>
    <row r="77" spans="1:24" x14ac:dyDescent="0.2">
      <c r="A77" s="1888"/>
      <c r="B77" s="1888"/>
      <c r="C77" s="1888"/>
      <c r="D77" s="1888"/>
      <c r="E77" s="1888"/>
      <c r="F77" s="1888"/>
      <c r="G77" s="1888"/>
      <c r="H77" s="1888"/>
      <c r="I77" s="1888"/>
      <c r="J77" s="1888"/>
      <c r="K77" s="1888"/>
      <c r="L77" s="1888"/>
      <c r="M77" s="1888"/>
      <c r="N77" s="1888"/>
      <c r="O77" s="1888"/>
      <c r="P77" s="1888"/>
      <c r="Q77" s="1888"/>
      <c r="R77" s="1888"/>
      <c r="S77" s="1888"/>
      <c r="T77" s="1888"/>
      <c r="U77" s="1888"/>
      <c r="V77" s="1888"/>
      <c r="W77" s="1888"/>
      <c r="X77" s="1888"/>
    </row>
    <row r="78" spans="1:24" x14ac:dyDescent="0.2">
      <c r="A78" s="1888"/>
      <c r="B78" s="1888"/>
      <c r="C78" s="1888"/>
      <c r="D78" s="1888"/>
      <c r="E78" s="1888"/>
      <c r="F78" s="1888"/>
      <c r="G78" s="1888"/>
      <c r="H78" s="1888"/>
      <c r="I78" s="1888"/>
      <c r="J78" s="1888"/>
      <c r="K78" s="1888"/>
      <c r="L78" s="1888"/>
      <c r="M78" s="1888"/>
      <c r="N78" s="1888"/>
      <c r="O78" s="1888"/>
      <c r="P78" s="1888"/>
      <c r="Q78" s="1888"/>
      <c r="R78" s="1888"/>
      <c r="S78" s="1888"/>
      <c r="T78" s="1888"/>
      <c r="U78" s="1888"/>
      <c r="V78" s="1888"/>
      <c r="W78" s="1888"/>
      <c r="X78" s="1888"/>
    </row>
    <row r="79" spans="1:24" x14ac:dyDescent="0.2">
      <c r="A79" s="1888"/>
      <c r="B79" s="1888"/>
      <c r="C79" s="1888"/>
      <c r="D79" s="1888"/>
      <c r="E79" s="1888"/>
      <c r="F79" s="1888"/>
      <c r="G79" s="1888"/>
      <c r="H79" s="1888"/>
      <c r="I79" s="1888"/>
      <c r="J79" s="1888"/>
      <c r="K79" s="1888"/>
      <c r="L79" s="1888"/>
      <c r="M79" s="1888"/>
      <c r="N79" s="1888"/>
      <c r="O79" s="1888"/>
      <c r="P79" s="1888"/>
      <c r="Q79" s="1888"/>
      <c r="R79" s="1888"/>
      <c r="S79" s="1888"/>
      <c r="T79" s="1888"/>
      <c r="U79" s="1888"/>
      <c r="V79" s="1888"/>
      <c r="W79" s="1888"/>
      <c r="X79" s="1888"/>
    </row>
    <row r="80" spans="1:24" x14ac:dyDescent="0.2">
      <c r="A80" s="1888"/>
      <c r="B80" s="1888"/>
      <c r="C80" s="1888"/>
      <c r="D80" s="1888"/>
      <c r="E80" s="1888"/>
      <c r="F80" s="1888"/>
      <c r="G80" s="1888"/>
      <c r="H80" s="1888"/>
      <c r="I80" s="1888"/>
      <c r="J80" s="1888"/>
      <c r="K80" s="1888"/>
      <c r="L80" s="1888"/>
      <c r="M80" s="1888"/>
      <c r="N80" s="1888"/>
      <c r="O80" s="1888"/>
      <c r="P80" s="1888"/>
      <c r="Q80" s="1888"/>
      <c r="R80" s="1888"/>
      <c r="S80" s="1888"/>
      <c r="T80" s="1888"/>
      <c r="U80" s="1888"/>
      <c r="V80" s="1888"/>
      <c r="W80" s="1888"/>
      <c r="X80" s="1888"/>
    </row>
    <row r="81" spans="1:24" x14ac:dyDescent="0.2">
      <c r="A81" s="1888"/>
      <c r="B81" s="1888"/>
      <c r="C81" s="1888"/>
      <c r="D81" s="1888"/>
      <c r="E81" s="1888"/>
      <c r="F81" s="1888"/>
      <c r="G81" s="1888"/>
      <c r="H81" s="1888"/>
      <c r="I81" s="1888"/>
      <c r="J81" s="1888"/>
      <c r="K81" s="1888"/>
      <c r="L81" s="1888"/>
      <c r="M81" s="1888"/>
      <c r="N81" s="1888"/>
      <c r="O81" s="1888"/>
      <c r="P81" s="1888"/>
      <c r="Q81" s="1888"/>
      <c r="R81" s="1888"/>
      <c r="S81" s="1888"/>
      <c r="T81" s="1888"/>
      <c r="U81" s="1888"/>
      <c r="V81" s="1888"/>
      <c r="W81" s="1888"/>
      <c r="X81" s="1888"/>
    </row>
    <row r="82" spans="1:24" x14ac:dyDescent="0.2">
      <c r="A82" s="1888"/>
      <c r="B82" s="1888"/>
      <c r="C82" s="1888"/>
      <c r="D82" s="1888"/>
      <c r="E82" s="1888"/>
      <c r="F82" s="1888"/>
      <c r="G82" s="1888"/>
      <c r="H82" s="1888"/>
      <c r="I82" s="1888"/>
      <c r="J82" s="1888"/>
      <c r="K82" s="1888"/>
      <c r="L82" s="1888"/>
      <c r="M82" s="1888"/>
      <c r="N82" s="1888"/>
      <c r="O82" s="1888"/>
      <c r="P82" s="1888"/>
      <c r="Q82" s="1888"/>
      <c r="R82" s="1888"/>
      <c r="S82" s="1888"/>
      <c r="T82" s="1888"/>
      <c r="U82" s="1888"/>
      <c r="V82" s="1888"/>
      <c r="W82" s="1888"/>
      <c r="X82" s="1888"/>
    </row>
    <row r="83" spans="1:24" x14ac:dyDescent="0.2">
      <c r="A83" s="1888"/>
      <c r="B83" s="1888"/>
      <c r="C83" s="1888"/>
      <c r="D83" s="1888"/>
      <c r="E83" s="1888"/>
      <c r="F83" s="1888"/>
      <c r="G83" s="1888"/>
      <c r="H83" s="1888"/>
      <c r="I83" s="1888"/>
      <c r="J83" s="1888"/>
      <c r="K83" s="1888"/>
      <c r="L83" s="1888"/>
      <c r="M83" s="1888"/>
      <c r="N83" s="1888"/>
      <c r="O83" s="1888"/>
      <c r="P83" s="1888"/>
      <c r="Q83" s="1888"/>
      <c r="R83" s="1888"/>
      <c r="S83" s="1888"/>
      <c r="T83" s="1888"/>
      <c r="U83" s="1888"/>
      <c r="V83" s="1888"/>
      <c r="W83" s="1888"/>
      <c r="X83" s="1888"/>
    </row>
    <row r="84" spans="1:24" x14ac:dyDescent="0.2">
      <c r="A84" s="1888"/>
      <c r="B84" s="1888"/>
      <c r="C84" s="1888"/>
      <c r="D84" s="1888"/>
      <c r="E84" s="1888"/>
      <c r="F84" s="1888"/>
      <c r="G84" s="1888"/>
      <c r="H84" s="1888"/>
      <c r="I84" s="1888"/>
      <c r="J84" s="1888"/>
      <c r="K84" s="1888"/>
      <c r="L84" s="1888"/>
      <c r="M84" s="1888"/>
      <c r="N84" s="1888"/>
      <c r="O84" s="1888"/>
      <c r="P84" s="1888"/>
      <c r="Q84" s="1888"/>
      <c r="R84" s="1888"/>
      <c r="S84" s="1888"/>
      <c r="T84" s="1888"/>
      <c r="U84" s="1888"/>
      <c r="V84" s="1888"/>
      <c r="W84" s="1888"/>
      <c r="X84" s="1888"/>
    </row>
    <row r="85" spans="1:24" x14ac:dyDescent="0.2">
      <c r="A85" s="1888"/>
      <c r="B85" s="1888"/>
      <c r="C85" s="1888"/>
      <c r="D85" s="1888"/>
      <c r="E85" s="1888"/>
      <c r="F85" s="1888"/>
      <c r="G85" s="1888"/>
      <c r="H85" s="1888"/>
      <c r="I85" s="1888"/>
      <c r="J85" s="1888"/>
      <c r="K85" s="1888"/>
      <c r="L85" s="1888"/>
      <c r="M85" s="1888"/>
      <c r="N85" s="1888"/>
      <c r="O85" s="1888"/>
      <c r="P85" s="1888"/>
      <c r="Q85" s="1888"/>
      <c r="R85" s="1888"/>
      <c r="S85" s="1888"/>
      <c r="T85" s="1888"/>
      <c r="U85" s="1888"/>
      <c r="V85" s="1888"/>
      <c r="W85" s="1888"/>
      <c r="X85" s="1888"/>
    </row>
    <row r="86" spans="1:24" x14ac:dyDescent="0.2">
      <c r="A86" s="1888"/>
      <c r="B86" s="1888"/>
      <c r="C86" s="1888"/>
      <c r="D86" s="1888"/>
      <c r="E86" s="1888"/>
      <c r="F86" s="1888"/>
      <c r="G86" s="1888"/>
      <c r="H86" s="1888"/>
      <c r="I86" s="1888"/>
      <c r="J86" s="1888"/>
      <c r="K86" s="1888"/>
      <c r="L86" s="1888"/>
      <c r="M86" s="1888"/>
      <c r="N86" s="1888"/>
      <c r="O86" s="1888"/>
      <c r="P86" s="1888"/>
      <c r="Q86" s="1888"/>
      <c r="R86" s="1888"/>
      <c r="S86" s="1888"/>
      <c r="T86" s="1888"/>
      <c r="U86" s="1888"/>
      <c r="V86" s="1888"/>
      <c r="W86" s="1888"/>
      <c r="X86" s="1888"/>
    </row>
    <row r="87" spans="1:24" x14ac:dyDescent="0.2">
      <c r="A87" s="1888"/>
      <c r="B87" s="1888"/>
      <c r="C87" s="1888"/>
      <c r="D87" s="1888"/>
      <c r="E87" s="1888"/>
      <c r="F87" s="1888"/>
      <c r="G87" s="1888"/>
      <c r="H87" s="1888"/>
      <c r="I87" s="1888"/>
      <c r="J87" s="1888"/>
      <c r="K87" s="1888"/>
      <c r="L87" s="1888"/>
      <c r="M87" s="1888"/>
      <c r="N87" s="1888"/>
      <c r="O87" s="1888"/>
      <c r="P87" s="1888"/>
      <c r="Q87" s="1888"/>
      <c r="R87" s="1888"/>
      <c r="S87" s="1888"/>
      <c r="T87" s="1888"/>
      <c r="U87" s="1888"/>
      <c r="V87" s="1888"/>
      <c r="W87" s="1888"/>
      <c r="X87" s="1888"/>
    </row>
    <row r="88" spans="1:24" x14ac:dyDescent="0.2">
      <c r="A88" s="1888"/>
      <c r="B88" s="1888"/>
      <c r="C88" s="1888"/>
      <c r="D88" s="1888"/>
      <c r="E88" s="1888"/>
      <c r="F88" s="1888"/>
      <c r="G88" s="1888"/>
      <c r="H88" s="1888"/>
      <c r="I88" s="1888"/>
      <c r="J88" s="1888"/>
      <c r="K88" s="1888"/>
      <c r="L88" s="1888"/>
      <c r="M88" s="1888"/>
      <c r="N88" s="1888"/>
      <c r="O88" s="1888"/>
      <c r="P88" s="1888"/>
      <c r="Q88" s="1888"/>
      <c r="R88" s="1888"/>
      <c r="S88" s="1888"/>
      <c r="T88" s="1888"/>
      <c r="U88" s="1888"/>
      <c r="V88" s="1888"/>
      <c r="W88" s="1888"/>
      <c r="X88" s="1888"/>
    </row>
    <row r="89" spans="1:24" x14ac:dyDescent="0.2">
      <c r="A89" s="1888"/>
      <c r="B89" s="1888"/>
      <c r="C89" s="1888"/>
      <c r="D89" s="1888"/>
      <c r="E89" s="1888"/>
      <c r="F89" s="1888"/>
      <c r="G89" s="1888"/>
      <c r="H89" s="1888"/>
      <c r="I89" s="1888"/>
      <c r="J89" s="1888"/>
      <c r="K89" s="1888"/>
      <c r="L89" s="1888"/>
      <c r="M89" s="1888"/>
      <c r="N89" s="1888"/>
      <c r="O89" s="1888"/>
      <c r="P89" s="1888"/>
      <c r="Q89" s="1888"/>
      <c r="R89" s="1888"/>
      <c r="S89" s="1888"/>
      <c r="T89" s="1888"/>
      <c r="U89" s="1888"/>
      <c r="V89" s="1888"/>
      <c r="W89" s="1888"/>
      <c r="X89" s="1888"/>
    </row>
    <row r="90" spans="1:24" x14ac:dyDescent="0.2">
      <c r="A90" s="1888"/>
      <c r="B90" s="1888"/>
      <c r="C90" s="1888"/>
      <c r="D90" s="1888"/>
      <c r="E90" s="1888"/>
      <c r="F90" s="1888"/>
      <c r="G90" s="1888"/>
      <c r="H90" s="1888"/>
      <c r="I90" s="1888"/>
      <c r="J90" s="1888"/>
      <c r="K90" s="1888"/>
      <c r="L90" s="1888"/>
      <c r="M90" s="1888"/>
      <c r="N90" s="1888"/>
      <c r="O90" s="1888"/>
      <c r="P90" s="1888"/>
      <c r="Q90" s="1888"/>
      <c r="R90" s="1888"/>
      <c r="S90" s="1888"/>
      <c r="T90" s="1888"/>
      <c r="U90" s="1888"/>
      <c r="V90" s="1888"/>
      <c r="W90" s="1888"/>
      <c r="X90" s="1888"/>
    </row>
    <row r="91" spans="1:24" x14ac:dyDescent="0.2">
      <c r="A91" s="1888"/>
      <c r="B91" s="1888"/>
      <c r="C91" s="1888"/>
      <c r="D91" s="1888"/>
      <c r="E91" s="1888"/>
      <c r="F91" s="1888"/>
      <c r="G91" s="1888"/>
      <c r="H91" s="1888"/>
      <c r="I91" s="1888"/>
      <c r="J91" s="1888"/>
      <c r="K91" s="1888"/>
      <c r="L91" s="1888"/>
      <c r="M91" s="1888"/>
      <c r="N91" s="1888"/>
      <c r="O91" s="1888"/>
      <c r="P91" s="1888"/>
      <c r="Q91" s="1888"/>
      <c r="R91" s="1888"/>
      <c r="S91" s="1888"/>
      <c r="T91" s="1888"/>
      <c r="U91" s="1888"/>
      <c r="V91" s="1888"/>
      <c r="W91" s="1888"/>
      <c r="X91" s="1888"/>
    </row>
    <row r="92" spans="1:24" x14ac:dyDescent="0.2">
      <c r="A92" s="1888"/>
      <c r="B92" s="1888"/>
      <c r="C92" s="1888"/>
      <c r="D92" s="1888"/>
      <c r="E92" s="1888"/>
      <c r="F92" s="1888"/>
      <c r="G92" s="1888"/>
      <c r="H92" s="1888"/>
      <c r="I92" s="1888"/>
      <c r="J92" s="1888"/>
      <c r="K92" s="1888"/>
      <c r="L92" s="1888"/>
      <c r="M92" s="1888"/>
      <c r="N92" s="1888"/>
      <c r="O92" s="1888"/>
      <c r="P92" s="1888"/>
      <c r="Q92" s="1888"/>
      <c r="R92" s="1888"/>
      <c r="S92" s="1888"/>
      <c r="T92" s="1888"/>
      <c r="U92" s="1888"/>
      <c r="V92" s="1888"/>
      <c r="W92" s="1888"/>
      <c r="X92" s="1888"/>
    </row>
    <row r="93" spans="1:24" x14ac:dyDescent="0.2">
      <c r="A93" s="1888"/>
      <c r="B93" s="1888"/>
      <c r="C93" s="1888"/>
      <c r="D93" s="1888"/>
      <c r="E93" s="1888"/>
      <c r="F93" s="1888"/>
      <c r="G93" s="1888"/>
      <c r="H93" s="1888"/>
      <c r="I93" s="1888"/>
      <c r="J93" s="1888"/>
      <c r="K93" s="1888"/>
      <c r="L93" s="1888"/>
      <c r="M93" s="1888"/>
      <c r="N93" s="1888"/>
      <c r="O93" s="1888"/>
      <c r="P93" s="1888"/>
      <c r="Q93" s="1888"/>
      <c r="R93" s="1888"/>
      <c r="S93" s="1888"/>
      <c r="T93" s="1888"/>
      <c r="U93" s="1888"/>
      <c r="V93" s="1888"/>
      <c r="W93" s="1888"/>
      <c r="X93" s="1888"/>
    </row>
    <row r="94" spans="1:24" x14ac:dyDescent="0.2">
      <c r="A94" s="1888"/>
      <c r="B94" s="1888"/>
      <c r="C94" s="1888"/>
      <c r="D94" s="1888"/>
      <c r="E94" s="1888"/>
      <c r="F94" s="1888"/>
      <c r="G94" s="1888"/>
      <c r="H94" s="1888"/>
      <c r="I94" s="1888"/>
      <c r="J94" s="1888"/>
      <c r="K94" s="1888"/>
      <c r="L94" s="1888"/>
      <c r="M94" s="1888"/>
      <c r="N94" s="1888"/>
      <c r="O94" s="1888"/>
      <c r="P94" s="1888"/>
      <c r="Q94" s="1888"/>
      <c r="R94" s="1888"/>
      <c r="S94" s="1888"/>
      <c r="T94" s="1888"/>
      <c r="U94" s="1888"/>
      <c r="V94" s="1888"/>
      <c r="W94" s="1888"/>
      <c r="X94" s="1888"/>
    </row>
    <row r="95" spans="1:24" x14ac:dyDescent="0.2">
      <c r="A95" s="1888"/>
      <c r="B95" s="1888"/>
      <c r="C95" s="1888"/>
      <c r="D95" s="1888"/>
      <c r="E95" s="1888"/>
      <c r="F95" s="1888"/>
      <c r="G95" s="1888"/>
      <c r="H95" s="1888"/>
      <c r="I95" s="1888"/>
      <c r="J95" s="1888"/>
      <c r="K95" s="1888"/>
      <c r="L95" s="1888"/>
      <c r="M95" s="1888"/>
      <c r="N95" s="1888"/>
      <c r="O95" s="1888"/>
      <c r="P95" s="1888"/>
      <c r="Q95" s="1888"/>
      <c r="R95" s="1888"/>
      <c r="S95" s="1888"/>
      <c r="T95" s="1888"/>
      <c r="U95" s="1888"/>
      <c r="V95" s="1888"/>
      <c r="W95" s="1888"/>
      <c r="X95" s="1888"/>
    </row>
    <row r="96" spans="1:24" x14ac:dyDescent="0.2">
      <c r="A96" s="1888"/>
      <c r="B96" s="1888"/>
      <c r="C96" s="1888"/>
      <c r="D96" s="1888"/>
      <c r="E96" s="1888"/>
      <c r="F96" s="1888"/>
      <c r="G96" s="1888"/>
      <c r="H96" s="1888"/>
      <c r="I96" s="1888"/>
      <c r="J96" s="1888"/>
      <c r="K96" s="1888"/>
      <c r="L96" s="1888"/>
      <c r="M96" s="1888"/>
      <c r="N96" s="1888"/>
      <c r="O96" s="1888"/>
      <c r="P96" s="1888"/>
      <c r="Q96" s="1888"/>
      <c r="R96" s="1888"/>
      <c r="S96" s="1888"/>
      <c r="T96" s="1888"/>
      <c r="U96" s="1888"/>
      <c r="V96" s="1888"/>
      <c r="W96" s="1888"/>
      <c r="X96" s="1888"/>
    </row>
    <row r="97" spans="1:24" x14ac:dyDescent="0.2">
      <c r="A97" s="1888"/>
      <c r="B97" s="1888"/>
      <c r="C97" s="1888"/>
      <c r="D97" s="1888"/>
      <c r="E97" s="1888"/>
      <c r="F97" s="1888"/>
      <c r="G97" s="1888"/>
      <c r="H97" s="1888"/>
      <c r="I97" s="1888"/>
      <c r="J97" s="1888"/>
      <c r="K97" s="1888"/>
      <c r="L97" s="1888"/>
      <c r="M97" s="1888"/>
      <c r="N97" s="1888"/>
      <c r="O97" s="1888"/>
      <c r="P97" s="1888"/>
      <c r="Q97" s="1888"/>
      <c r="R97" s="1888"/>
      <c r="S97" s="1888"/>
      <c r="T97" s="1888"/>
      <c r="U97" s="1888"/>
      <c r="V97" s="1888"/>
      <c r="W97" s="1888"/>
      <c r="X97" s="1888"/>
    </row>
    <row r="98" spans="1:24" x14ac:dyDescent="0.2">
      <c r="A98" s="1888"/>
      <c r="B98" s="1888"/>
      <c r="C98" s="1888"/>
      <c r="D98" s="1888"/>
      <c r="E98" s="1888"/>
      <c r="F98" s="1888"/>
      <c r="G98" s="1888"/>
      <c r="H98" s="1888"/>
      <c r="I98" s="1888"/>
      <c r="J98" s="1888"/>
      <c r="K98" s="1888"/>
      <c r="L98" s="1888"/>
      <c r="M98" s="1888"/>
      <c r="N98" s="1888"/>
      <c r="O98" s="1888"/>
      <c r="P98" s="1888"/>
      <c r="Q98" s="1888"/>
      <c r="R98" s="1888"/>
      <c r="S98" s="1888"/>
      <c r="T98" s="1888"/>
      <c r="U98" s="1888"/>
      <c r="V98" s="1888"/>
      <c r="W98" s="1888"/>
      <c r="X98" s="1888"/>
    </row>
    <row r="99" spans="1:24" x14ac:dyDescent="0.2">
      <c r="A99" s="1888"/>
      <c r="B99" s="1888"/>
      <c r="C99" s="1888"/>
      <c r="D99" s="1888"/>
      <c r="E99" s="1888"/>
      <c r="F99" s="1888"/>
      <c r="G99" s="1888"/>
      <c r="H99" s="1888"/>
      <c r="I99" s="1888"/>
      <c r="J99" s="1888"/>
      <c r="K99" s="1888"/>
      <c r="L99" s="1888"/>
      <c r="M99" s="1888"/>
      <c r="N99" s="1888"/>
      <c r="O99" s="1888"/>
      <c r="P99" s="1888"/>
      <c r="Q99" s="1888"/>
      <c r="R99" s="1888"/>
      <c r="S99" s="1888"/>
      <c r="T99" s="1888"/>
      <c r="U99" s="1888"/>
      <c r="V99" s="1888"/>
      <c r="W99" s="1888"/>
      <c r="X99" s="1888"/>
    </row>
    <row r="100" spans="1:24"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c r="U100" s="1888"/>
      <c r="V100" s="1888"/>
      <c r="W100" s="1888"/>
      <c r="X100" s="1888"/>
    </row>
    <row r="101" spans="1:24"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c r="U101" s="1888"/>
      <c r="V101" s="1888"/>
      <c r="W101" s="1888"/>
      <c r="X101" s="1888"/>
    </row>
    <row r="102" spans="1:24"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c r="U102" s="1888"/>
      <c r="V102" s="1888"/>
      <c r="W102" s="1888"/>
      <c r="X102" s="1888"/>
    </row>
    <row r="103" spans="1:24"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c r="U103" s="1888"/>
      <c r="V103" s="1888"/>
      <c r="W103" s="1888"/>
      <c r="X103" s="1888"/>
    </row>
    <row r="104" spans="1:24"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c r="U104" s="1888"/>
      <c r="V104" s="1888"/>
      <c r="W104" s="1888"/>
      <c r="X104" s="1888"/>
    </row>
    <row r="105" spans="1:24"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c r="U105" s="1888"/>
      <c r="V105" s="1888"/>
      <c r="W105" s="1888"/>
      <c r="X105" s="1888"/>
    </row>
    <row r="106" spans="1:24"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c r="U106" s="1888"/>
      <c r="V106" s="1888"/>
      <c r="W106" s="1888"/>
      <c r="X106" s="1888"/>
    </row>
    <row r="107" spans="1:24"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c r="U107" s="1888"/>
      <c r="V107" s="1888"/>
      <c r="W107" s="1888"/>
      <c r="X107" s="1888"/>
    </row>
    <row r="108" spans="1:24"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c r="U108" s="1888"/>
      <c r="V108" s="1888"/>
      <c r="W108" s="1888"/>
      <c r="X108" s="1888"/>
    </row>
    <row r="109" spans="1:24"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c r="U109" s="1888"/>
      <c r="V109" s="1888"/>
      <c r="W109" s="1888"/>
      <c r="X109" s="1888"/>
    </row>
    <row r="110" spans="1:24"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c r="U110" s="1888"/>
      <c r="V110" s="1888"/>
      <c r="W110" s="1888"/>
      <c r="X110" s="1888"/>
    </row>
    <row r="111" spans="1:24"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c r="U111" s="1888"/>
      <c r="V111" s="1888"/>
      <c r="W111" s="1888"/>
      <c r="X111" s="1888"/>
    </row>
    <row r="112" spans="1:24"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c r="U112" s="1888"/>
      <c r="V112" s="1888"/>
      <c r="W112" s="1888"/>
      <c r="X112" s="1888"/>
    </row>
    <row r="113" spans="1:24"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c r="U113" s="1888"/>
      <c r="V113" s="1888"/>
      <c r="W113" s="1888"/>
      <c r="X113" s="1888"/>
    </row>
    <row r="114" spans="1:24"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c r="U114" s="1888"/>
      <c r="V114" s="1888"/>
      <c r="W114" s="1888"/>
      <c r="X114" s="1888"/>
    </row>
    <row r="115" spans="1:24"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c r="U115" s="1888"/>
      <c r="V115" s="1888"/>
      <c r="W115" s="1888"/>
      <c r="X115" s="1888"/>
    </row>
    <row r="116" spans="1:24"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c r="U116" s="1888"/>
      <c r="V116" s="1888"/>
      <c r="W116" s="1888"/>
      <c r="X116" s="1888"/>
    </row>
    <row r="117" spans="1:24"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c r="U117" s="1888"/>
      <c r="V117" s="1888"/>
      <c r="W117" s="1888"/>
      <c r="X117" s="1888"/>
    </row>
    <row r="118" spans="1:24"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c r="U118" s="1888"/>
      <c r="V118" s="1888"/>
      <c r="W118" s="1888"/>
      <c r="X118" s="1888"/>
    </row>
    <row r="119" spans="1:24"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c r="U119" s="1888"/>
      <c r="V119" s="1888"/>
      <c r="W119" s="1888"/>
      <c r="X119" s="1888"/>
    </row>
    <row r="120" spans="1:24"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c r="U120" s="1888"/>
      <c r="V120" s="1888"/>
      <c r="W120" s="1888"/>
      <c r="X120" s="1888"/>
    </row>
    <row r="121" spans="1:24"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c r="U121" s="1888"/>
      <c r="V121" s="1888"/>
      <c r="W121" s="1888"/>
      <c r="X121" s="1888"/>
    </row>
    <row r="122" spans="1:24" x14ac:dyDescent="0.2">
      <c r="A122" s="1888"/>
      <c r="B122" s="1888"/>
      <c r="C122" s="1888"/>
      <c r="D122" s="1888"/>
      <c r="E122" s="1888"/>
      <c r="F122" s="1888"/>
      <c r="G122" s="1888"/>
      <c r="H122" s="1888"/>
      <c r="I122" s="1888"/>
      <c r="J122" s="1888"/>
      <c r="K122" s="1888"/>
      <c r="L122" s="1888"/>
      <c r="M122" s="1888"/>
      <c r="N122" s="1888"/>
      <c r="O122" s="1888"/>
      <c r="P122" s="1888"/>
      <c r="Q122" s="1888"/>
      <c r="R122" s="1888"/>
      <c r="S122" s="1888"/>
      <c r="T122" s="1888"/>
      <c r="U122" s="1888"/>
      <c r="V122" s="1888"/>
      <c r="W122" s="1888"/>
      <c r="X122" s="1888"/>
    </row>
    <row r="123" spans="1:24" x14ac:dyDescent="0.2">
      <c r="A123" s="1888"/>
      <c r="B123" s="1888"/>
      <c r="C123" s="1888"/>
      <c r="D123" s="1888"/>
      <c r="E123" s="1888"/>
      <c r="F123" s="1888"/>
      <c r="G123" s="1888"/>
      <c r="H123" s="1888"/>
      <c r="I123" s="1888"/>
      <c r="J123" s="1888"/>
      <c r="K123" s="1888"/>
      <c r="L123" s="1888"/>
      <c r="M123" s="1888"/>
      <c r="N123" s="1888"/>
      <c r="O123" s="1888"/>
      <c r="P123" s="1888"/>
      <c r="Q123" s="1888"/>
      <c r="R123" s="1888"/>
      <c r="S123" s="1888"/>
      <c r="T123" s="1888"/>
      <c r="U123" s="1888"/>
      <c r="V123" s="1888"/>
      <c r="W123" s="1888"/>
      <c r="X123" s="1888"/>
    </row>
    <row r="124" spans="1:24" x14ac:dyDescent="0.2">
      <c r="A124" s="1888"/>
      <c r="B124" s="1888"/>
      <c r="C124" s="1888"/>
      <c r="D124" s="1888"/>
      <c r="E124" s="1888"/>
      <c r="F124" s="1888"/>
      <c r="G124" s="1888"/>
      <c r="H124" s="1888"/>
      <c r="I124" s="1888"/>
      <c r="J124" s="1888"/>
      <c r="K124" s="1888"/>
      <c r="L124" s="1888"/>
      <c r="M124" s="1888"/>
      <c r="N124" s="1888"/>
      <c r="O124" s="1888"/>
      <c r="P124" s="1888"/>
      <c r="Q124" s="1888"/>
      <c r="R124" s="1888"/>
      <c r="S124" s="1888"/>
      <c r="T124" s="1888"/>
      <c r="U124" s="1888"/>
      <c r="V124" s="1888"/>
      <c r="W124" s="1888"/>
      <c r="X124" s="1888"/>
    </row>
    <row r="125" spans="1:24" x14ac:dyDescent="0.2">
      <c r="A125" s="1888"/>
      <c r="B125" s="1888"/>
      <c r="C125" s="1888"/>
      <c r="D125" s="1888"/>
      <c r="E125" s="1888"/>
      <c r="F125" s="1888"/>
      <c r="G125" s="1888"/>
      <c r="H125" s="1888"/>
      <c r="I125" s="1888"/>
      <c r="J125" s="1888"/>
      <c r="K125" s="1888"/>
      <c r="L125" s="1888"/>
      <c r="M125" s="1888"/>
      <c r="N125" s="1888"/>
      <c r="O125" s="1888"/>
      <c r="P125" s="1888"/>
      <c r="Q125" s="1888"/>
      <c r="R125" s="1888"/>
      <c r="S125" s="1888"/>
      <c r="T125" s="1888"/>
      <c r="U125" s="1888"/>
      <c r="V125" s="1888"/>
      <c r="W125" s="1888"/>
      <c r="X125" s="1888"/>
    </row>
    <row r="126" spans="1:24" x14ac:dyDescent="0.2">
      <c r="A126" s="1888"/>
      <c r="B126" s="1888"/>
      <c r="C126" s="1888"/>
      <c r="D126" s="1888"/>
      <c r="E126" s="1888"/>
      <c r="F126" s="1888"/>
      <c r="G126" s="1888"/>
      <c r="H126" s="1888"/>
      <c r="I126" s="1888"/>
      <c r="J126" s="1888"/>
      <c r="K126" s="1888"/>
      <c r="L126" s="1888"/>
      <c r="M126" s="1888"/>
      <c r="N126" s="1888"/>
      <c r="O126" s="1888"/>
      <c r="P126" s="1888"/>
      <c r="Q126" s="1888"/>
      <c r="R126" s="1888"/>
      <c r="S126" s="1888"/>
      <c r="T126" s="1888"/>
      <c r="U126" s="1888"/>
      <c r="V126" s="1888"/>
      <c r="W126" s="1888"/>
      <c r="X126" s="1888"/>
    </row>
    <row r="127" spans="1:24" x14ac:dyDescent="0.2">
      <c r="A127" s="1888"/>
      <c r="B127" s="1888"/>
      <c r="C127" s="1888"/>
      <c r="D127" s="1888"/>
      <c r="E127" s="1888"/>
      <c r="F127" s="1888"/>
      <c r="G127" s="1888"/>
      <c r="H127" s="1888"/>
      <c r="I127" s="1888"/>
      <c r="J127" s="1888"/>
      <c r="K127" s="1888"/>
      <c r="L127" s="1888"/>
      <c r="M127" s="1888"/>
      <c r="N127" s="1888"/>
      <c r="O127" s="1888"/>
      <c r="P127" s="1888"/>
      <c r="Q127" s="1888"/>
      <c r="R127" s="1888"/>
      <c r="S127" s="1888"/>
      <c r="T127" s="1888"/>
      <c r="U127" s="1888"/>
      <c r="V127" s="1888"/>
      <c r="W127" s="1888"/>
      <c r="X127" s="1888"/>
    </row>
    <row r="128" spans="1:24" x14ac:dyDescent="0.2">
      <c r="A128" s="1888"/>
      <c r="B128" s="1888"/>
      <c r="C128" s="1888"/>
      <c r="D128" s="1888"/>
      <c r="E128" s="1888"/>
      <c r="F128" s="1888"/>
      <c r="G128" s="1888"/>
      <c r="H128" s="1888"/>
      <c r="I128" s="1888"/>
      <c r="J128" s="1888"/>
      <c r="K128" s="1888"/>
      <c r="L128" s="1888"/>
      <c r="M128" s="1888"/>
      <c r="N128" s="1888"/>
      <c r="O128" s="1888"/>
      <c r="P128" s="1888"/>
      <c r="Q128" s="1888"/>
      <c r="R128" s="1888"/>
      <c r="S128" s="1888"/>
      <c r="T128" s="1888"/>
      <c r="U128" s="1888"/>
      <c r="V128" s="1888"/>
      <c r="W128" s="1888"/>
      <c r="X128" s="1888"/>
    </row>
    <row r="129" spans="1:24" x14ac:dyDescent="0.2">
      <c r="A129" s="1888"/>
      <c r="B129" s="1888"/>
      <c r="C129" s="1888"/>
      <c r="D129" s="1888"/>
      <c r="E129" s="1888"/>
      <c r="F129" s="1888"/>
      <c r="G129" s="1888"/>
      <c r="H129" s="1888"/>
      <c r="I129" s="1888"/>
      <c r="J129" s="1888"/>
      <c r="K129" s="1888"/>
      <c r="L129" s="1888"/>
      <c r="M129" s="1888"/>
      <c r="N129" s="1888"/>
      <c r="O129" s="1888"/>
      <c r="P129" s="1888"/>
      <c r="Q129" s="1888"/>
      <c r="R129" s="1888"/>
      <c r="S129" s="1888"/>
      <c r="T129" s="1888"/>
      <c r="U129" s="1888"/>
      <c r="V129" s="1888"/>
      <c r="W129" s="1888"/>
      <c r="X129" s="1888"/>
    </row>
    <row r="130" spans="1:24" x14ac:dyDescent="0.2">
      <c r="A130" s="1888"/>
      <c r="B130" s="1888"/>
      <c r="C130" s="1888"/>
      <c r="D130" s="1888"/>
      <c r="E130" s="1888"/>
      <c r="F130" s="1888"/>
      <c r="G130" s="1888"/>
      <c r="H130" s="1888"/>
      <c r="I130" s="1888"/>
      <c r="J130" s="1888"/>
      <c r="K130" s="1888"/>
      <c r="L130" s="1888"/>
      <c r="M130" s="1888"/>
      <c r="N130" s="1888"/>
      <c r="O130" s="1888"/>
      <c r="P130" s="1888"/>
      <c r="Q130" s="1888"/>
      <c r="R130" s="1888"/>
      <c r="S130" s="1888"/>
      <c r="T130" s="1888"/>
      <c r="U130" s="1888"/>
      <c r="V130" s="1888"/>
      <c r="W130" s="1888"/>
      <c r="X130" s="1888"/>
    </row>
    <row r="131" spans="1:24" x14ac:dyDescent="0.2">
      <c r="A131" s="1888"/>
      <c r="B131" s="1888"/>
      <c r="C131" s="1888"/>
      <c r="D131" s="1888"/>
      <c r="E131" s="1888"/>
      <c r="F131" s="1888"/>
      <c r="G131" s="1888"/>
      <c r="H131" s="1888"/>
      <c r="I131" s="1888"/>
      <c r="J131" s="1888"/>
      <c r="K131" s="1888"/>
      <c r="L131" s="1888"/>
      <c r="M131" s="1888"/>
      <c r="N131" s="1888"/>
      <c r="O131" s="1888"/>
      <c r="P131" s="1888"/>
      <c r="Q131" s="1888"/>
      <c r="R131" s="1888"/>
      <c r="S131" s="1888"/>
      <c r="T131" s="1888"/>
      <c r="U131" s="1888"/>
      <c r="V131" s="1888"/>
      <c r="W131" s="1888"/>
      <c r="X131" s="1888"/>
    </row>
    <row r="132" spans="1:24" x14ac:dyDescent="0.2">
      <c r="A132" s="1888"/>
      <c r="B132" s="1888"/>
      <c r="C132" s="1888"/>
      <c r="D132" s="1888"/>
      <c r="E132" s="1888"/>
      <c r="F132" s="1888"/>
      <c r="G132" s="1888"/>
      <c r="H132" s="1888"/>
      <c r="I132" s="1888"/>
      <c r="J132" s="1888"/>
      <c r="K132" s="1888"/>
      <c r="L132" s="1888"/>
      <c r="M132" s="1888"/>
      <c r="N132" s="1888"/>
      <c r="O132" s="1888"/>
      <c r="P132" s="1888"/>
      <c r="Q132" s="1888"/>
      <c r="R132" s="1888"/>
      <c r="S132" s="1888"/>
      <c r="T132" s="1888"/>
      <c r="U132" s="1888"/>
      <c r="V132" s="1888"/>
      <c r="W132" s="1888"/>
      <c r="X132" s="1888"/>
    </row>
    <row r="133" spans="1:24" x14ac:dyDescent="0.2">
      <c r="A133" s="1888"/>
      <c r="B133" s="1888"/>
      <c r="C133" s="1888"/>
      <c r="D133" s="1888"/>
      <c r="E133" s="1888"/>
      <c r="F133" s="1888"/>
      <c r="G133" s="1888"/>
      <c r="H133" s="1888"/>
      <c r="I133" s="1888"/>
      <c r="J133" s="1888"/>
      <c r="K133" s="1888"/>
      <c r="L133" s="1888"/>
      <c r="M133" s="1888"/>
      <c r="N133" s="1888"/>
      <c r="O133" s="1888"/>
      <c r="P133" s="1888"/>
      <c r="Q133" s="1888"/>
      <c r="R133" s="1888"/>
      <c r="S133" s="1888"/>
      <c r="T133" s="1888"/>
      <c r="U133" s="1888"/>
      <c r="V133" s="1888"/>
      <c r="W133" s="1888"/>
      <c r="X133" s="1888"/>
    </row>
    <row r="134" spans="1:24" x14ac:dyDescent="0.2">
      <c r="A134" s="1888"/>
      <c r="B134" s="1888"/>
      <c r="C134" s="1888"/>
      <c r="D134" s="1888"/>
      <c r="E134" s="1888"/>
      <c r="F134" s="1888"/>
      <c r="G134" s="1888"/>
      <c r="H134" s="1888"/>
      <c r="I134" s="1888"/>
      <c r="J134" s="1888"/>
      <c r="K134" s="1888"/>
      <c r="L134" s="1888"/>
      <c r="M134" s="1888"/>
      <c r="N134" s="1888"/>
      <c r="O134" s="1888"/>
      <c r="P134" s="1888"/>
      <c r="Q134" s="1888"/>
      <c r="R134" s="1888"/>
      <c r="S134" s="1888"/>
      <c r="T134" s="1888"/>
      <c r="U134" s="1888"/>
      <c r="V134" s="1888"/>
      <c r="W134" s="1888"/>
      <c r="X134" s="1888"/>
    </row>
    <row r="135" spans="1:24" x14ac:dyDescent="0.2">
      <c r="A135" s="1888"/>
      <c r="B135" s="1888"/>
      <c r="C135" s="1888"/>
      <c r="D135" s="1888"/>
      <c r="E135" s="1888"/>
      <c r="F135" s="1888"/>
      <c r="G135" s="1888"/>
      <c r="H135" s="1888"/>
      <c r="I135" s="1888"/>
      <c r="J135" s="1888"/>
      <c r="K135" s="1888"/>
      <c r="L135" s="1888"/>
      <c r="M135" s="1888"/>
      <c r="N135" s="1888"/>
      <c r="O135" s="1888"/>
      <c r="P135" s="1888"/>
      <c r="Q135" s="1888"/>
      <c r="R135" s="1888"/>
      <c r="S135" s="1888"/>
      <c r="T135" s="1888"/>
      <c r="U135" s="1888"/>
      <c r="V135" s="1888"/>
      <c r="W135" s="1888"/>
      <c r="X135" s="1888"/>
    </row>
    <row r="136" spans="1:24" x14ac:dyDescent="0.2">
      <c r="A136" s="1888"/>
      <c r="B136" s="1888"/>
      <c r="C136" s="1888"/>
      <c r="D136" s="1888"/>
      <c r="E136" s="1888"/>
      <c r="F136" s="1888"/>
      <c r="G136" s="1888"/>
      <c r="H136" s="1888"/>
      <c r="I136" s="1888"/>
      <c r="J136" s="1888"/>
      <c r="K136" s="1888"/>
      <c r="L136" s="1888"/>
      <c r="M136" s="1888"/>
      <c r="N136" s="1888"/>
      <c r="O136" s="1888"/>
      <c r="P136" s="1888"/>
      <c r="Q136" s="1888"/>
      <c r="R136" s="1888"/>
      <c r="S136" s="1888"/>
      <c r="T136" s="1888"/>
      <c r="U136" s="1888"/>
      <c r="V136" s="1888"/>
      <c r="W136" s="1888"/>
      <c r="X136" s="1888"/>
    </row>
    <row r="137" spans="1:24" x14ac:dyDescent="0.2">
      <c r="A137" s="1888"/>
      <c r="B137" s="1888"/>
      <c r="C137" s="1888"/>
      <c r="D137" s="1888"/>
      <c r="E137" s="1888"/>
      <c r="F137" s="1888"/>
      <c r="G137" s="1888"/>
      <c r="H137" s="1888"/>
      <c r="I137" s="1888"/>
      <c r="J137" s="1888"/>
      <c r="K137" s="1888"/>
      <c r="L137" s="1888"/>
      <c r="M137" s="1888"/>
      <c r="N137" s="1888"/>
      <c r="O137" s="1888"/>
      <c r="P137" s="1888"/>
      <c r="Q137" s="1888"/>
      <c r="R137" s="1888"/>
      <c r="S137" s="1888"/>
      <c r="T137" s="1888"/>
      <c r="U137" s="1888"/>
      <c r="V137" s="1888"/>
      <c r="W137" s="1888"/>
      <c r="X137" s="1888"/>
    </row>
    <row r="138" spans="1:24" x14ac:dyDescent="0.2">
      <c r="A138" s="1888"/>
      <c r="B138" s="1888"/>
      <c r="C138" s="1888"/>
      <c r="D138" s="1888"/>
      <c r="E138" s="1888"/>
      <c r="F138" s="1888"/>
      <c r="G138" s="1888"/>
      <c r="H138" s="1888"/>
      <c r="I138" s="1888"/>
      <c r="J138" s="1888"/>
      <c r="K138" s="1888"/>
      <c r="L138" s="1888"/>
      <c r="M138" s="1888"/>
      <c r="N138" s="1888"/>
      <c r="O138" s="1888"/>
      <c r="P138" s="1888"/>
      <c r="Q138" s="1888"/>
      <c r="R138" s="1888"/>
      <c r="S138" s="1888"/>
      <c r="T138" s="1888"/>
      <c r="U138" s="1888"/>
      <c r="V138" s="1888"/>
      <c r="W138" s="1888"/>
      <c r="X138" s="1888"/>
    </row>
    <row r="139" spans="1:24" x14ac:dyDescent="0.2">
      <c r="A139" s="1888"/>
      <c r="B139" s="1888"/>
      <c r="C139" s="1888"/>
      <c r="D139" s="1888"/>
      <c r="E139" s="1888"/>
      <c r="F139" s="1888"/>
      <c r="G139" s="1888"/>
      <c r="H139" s="1888"/>
      <c r="I139" s="1888"/>
      <c r="J139" s="1888"/>
      <c r="K139" s="1888"/>
      <c r="L139" s="1888"/>
      <c r="M139" s="1888"/>
      <c r="N139" s="1888"/>
      <c r="O139" s="1888"/>
      <c r="P139" s="1888"/>
      <c r="Q139" s="1888"/>
      <c r="R139" s="1888"/>
      <c r="S139" s="1888"/>
      <c r="T139" s="1888"/>
      <c r="U139" s="1888"/>
      <c r="V139" s="1888"/>
      <c r="W139" s="1888"/>
      <c r="X139" s="1888"/>
    </row>
    <row r="140" spans="1:24" x14ac:dyDescent="0.2">
      <c r="A140" s="1888"/>
      <c r="B140" s="1888"/>
      <c r="C140" s="1888"/>
      <c r="D140" s="1888"/>
      <c r="E140" s="1888"/>
      <c r="F140" s="1888"/>
      <c r="G140" s="1888"/>
      <c r="H140" s="1888"/>
      <c r="I140" s="1888"/>
      <c r="J140" s="1888"/>
      <c r="K140" s="1888"/>
      <c r="L140" s="1888"/>
      <c r="M140" s="1888"/>
      <c r="N140" s="1888"/>
      <c r="O140" s="1888"/>
      <c r="P140" s="1888"/>
      <c r="Q140" s="1888"/>
      <c r="R140" s="1888"/>
      <c r="S140" s="1888"/>
      <c r="T140" s="1888"/>
      <c r="U140" s="1888"/>
      <c r="V140" s="1888"/>
      <c r="W140" s="1888"/>
      <c r="X140" s="1888"/>
    </row>
    <row r="141" spans="1:24" x14ac:dyDescent="0.2">
      <c r="A141" s="1888"/>
      <c r="B141" s="1888"/>
      <c r="C141" s="1888"/>
      <c r="D141" s="1888"/>
      <c r="E141" s="1888"/>
      <c r="F141" s="1888"/>
      <c r="G141" s="1888"/>
      <c r="H141" s="1888"/>
      <c r="I141" s="1888"/>
      <c r="J141" s="1888"/>
      <c r="K141" s="1888"/>
      <c r="L141" s="1888"/>
      <c r="M141" s="1888"/>
      <c r="N141" s="1888"/>
      <c r="O141" s="1888"/>
      <c r="P141" s="1888"/>
      <c r="Q141" s="1888"/>
      <c r="R141" s="1888"/>
      <c r="S141" s="1888"/>
      <c r="T141" s="1888"/>
      <c r="U141" s="1888"/>
      <c r="V141" s="1888"/>
      <c r="W141" s="1888"/>
      <c r="X141" s="1888"/>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C0A3B-6A53-456F-95A3-6962B3CE80FB}">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7" customWidth="1"/>
    <col min="2" max="2" width="47.28515625" style="2227" customWidth="1"/>
    <col min="3" max="3" width="16.140625" style="2227" customWidth="1"/>
    <col min="4" max="4" width="15.140625" style="2227" customWidth="1"/>
    <col min="5" max="7" width="18" style="2227" customWidth="1"/>
    <col min="8" max="8" width="16.42578125" style="2227" customWidth="1"/>
    <col min="9" max="11" width="17.42578125" style="2227" customWidth="1"/>
    <col min="12" max="12" width="21.42578125" style="2227" customWidth="1"/>
    <col min="13" max="13" width="2.140625" style="2444" customWidth="1"/>
    <col min="14" max="14" width="71.42578125" style="2227" bestFit="1" customWidth="1"/>
    <col min="15" max="15" width="22.5703125" style="2227" customWidth="1"/>
    <col min="16" max="16" width="21.42578125" style="2227" customWidth="1"/>
    <col min="17" max="20" width="14.85546875" style="2227" bestFit="1" customWidth="1"/>
    <col min="21" max="21" width="13.140625" style="2227" customWidth="1"/>
    <col min="22" max="24" width="13.42578125" style="2227" customWidth="1"/>
    <col min="25" max="25" width="12" style="2227" customWidth="1"/>
    <col min="26" max="26" width="10.85546875" style="2227"/>
    <col min="27" max="27" width="2.140625" style="2436" customWidth="1"/>
    <col min="28" max="28" width="12.42578125" style="2227" customWidth="1"/>
    <col min="29" max="29" width="25.42578125" style="2640" customWidth="1"/>
    <col min="30" max="30" width="13.42578125" style="2227" customWidth="1"/>
    <col min="31" max="33" width="12" style="2227" customWidth="1"/>
    <col min="34" max="34" width="12.42578125" style="2227" customWidth="1"/>
    <col min="35" max="37" width="12.140625" style="2227" bestFit="1" customWidth="1"/>
    <col min="38" max="38" width="2.140625" style="2436" customWidth="1"/>
    <col min="39" max="16384" width="10.85546875" style="2227"/>
  </cols>
  <sheetData>
    <row r="1" spans="1:37" ht="18" customHeight="1" x14ac:dyDescent="0.2">
      <c r="A1" s="2427" t="s">
        <v>1273</v>
      </c>
      <c r="B1" s="2428"/>
      <c r="C1" s="2428"/>
      <c r="D1" s="2428"/>
      <c r="E1" s="2429"/>
      <c r="F1" s="2429"/>
      <c r="G1" s="2429"/>
      <c r="H1" s="2430"/>
      <c r="I1" s="2428"/>
      <c r="J1" s="2428"/>
      <c r="K1" s="2428"/>
      <c r="L1" s="2428"/>
      <c r="M1" s="2431"/>
      <c r="N1" s="2427" t="s">
        <v>1274</v>
      </c>
      <c r="O1" s="2428"/>
      <c r="P1" s="2063"/>
      <c r="Q1" s="2063"/>
      <c r="R1" s="2063"/>
      <c r="S1" s="2063"/>
      <c r="T1" s="2063"/>
      <c r="U1" s="2063"/>
      <c r="V1" s="2063"/>
      <c r="W1" s="2063"/>
      <c r="X1" s="2063"/>
      <c r="Y1" s="2063"/>
      <c r="Z1" s="2432"/>
      <c r="AA1" s="2433"/>
      <c r="AB1" s="2427" t="s">
        <v>1275</v>
      </c>
      <c r="AC1" s="2434"/>
      <c r="AD1" s="2435"/>
      <c r="AE1" s="2435"/>
      <c r="AF1" s="2435"/>
      <c r="AG1" s="2435"/>
      <c r="AH1" s="2435"/>
      <c r="AI1" s="2435"/>
      <c r="AJ1" s="2435"/>
      <c r="AK1" s="2435"/>
    </row>
    <row r="2" spans="1:37" ht="18" customHeight="1" x14ac:dyDescent="0.2">
      <c r="A2" s="2437"/>
      <c r="B2" s="2063"/>
      <c r="C2" s="2063"/>
      <c r="D2" s="2063"/>
      <c r="E2" s="2063"/>
      <c r="F2" s="2063"/>
      <c r="G2" s="2063"/>
      <c r="H2" s="2062"/>
      <c r="I2" s="2063"/>
      <c r="J2" s="2063"/>
      <c r="K2" s="2063"/>
      <c r="L2" s="2063"/>
      <c r="M2" s="2431"/>
      <c r="N2" s="2063"/>
      <c r="O2" s="2063"/>
      <c r="P2" s="2063"/>
      <c r="Q2" s="2063"/>
      <c r="R2" s="2063"/>
      <c r="S2" s="2063"/>
      <c r="T2" s="2063"/>
      <c r="U2" s="2063"/>
      <c r="V2" s="2063"/>
      <c r="W2" s="2063"/>
      <c r="X2" s="2063"/>
      <c r="Y2" s="2063"/>
      <c r="Z2" s="2063"/>
      <c r="AA2" s="2433"/>
      <c r="AB2" s="2063"/>
      <c r="AC2" s="2438"/>
      <c r="AD2" s="2062"/>
      <c r="AE2" s="2062"/>
      <c r="AF2" s="2062"/>
      <c r="AG2" s="2062"/>
      <c r="AH2" s="2062"/>
      <c r="AI2" s="2062"/>
      <c r="AJ2" s="2062"/>
      <c r="AK2" s="2062"/>
    </row>
    <row r="3" spans="1:37" ht="18" customHeight="1" x14ac:dyDescent="0.2">
      <c r="A3" s="2439"/>
      <c r="B3" s="2219" t="s">
        <v>1276</v>
      </c>
      <c r="C3" s="2440">
        <f>+'CO2 - Início'!E67</f>
        <v>75.900000000000006</v>
      </c>
      <c r="D3" s="2207" t="s">
        <v>1277</v>
      </c>
      <c r="E3" s="2164"/>
      <c r="F3" s="2165" t="s">
        <v>1278</v>
      </c>
      <c r="G3" s="2063"/>
      <c r="J3" s="2063"/>
      <c r="K3" s="2063"/>
      <c r="L3" s="2063"/>
      <c r="M3" s="2431"/>
      <c r="N3" s="2977" t="s">
        <v>1279</v>
      </c>
      <c r="O3" s="2978"/>
      <c r="P3" s="2978"/>
      <c r="Q3" s="2979"/>
      <c r="R3" s="2063"/>
      <c r="S3" s="2063"/>
      <c r="T3" s="2063"/>
      <c r="U3" s="2063"/>
      <c r="V3" s="2063"/>
      <c r="W3" s="2063"/>
      <c r="X3" s="2063"/>
      <c r="Y3" s="2063"/>
      <c r="Z3" s="2063"/>
      <c r="AA3" s="2433"/>
      <c r="AB3" s="2063"/>
      <c r="AC3" s="2438"/>
      <c r="AD3" s="2077" t="str">
        <f t="shared" ref="AD3:AK3" si="0">+D72</f>
        <v>Cenário-Base</v>
      </c>
      <c r="AE3" s="2077" t="str">
        <f t="shared" si="0"/>
        <v>Biodigestão RT1A + CDR TM</v>
      </c>
      <c r="AF3" s="2077" t="str">
        <f t="shared" si="0"/>
        <v>Biodigestão RT1B + CDR TM</v>
      </c>
      <c r="AG3" s="2077" t="str">
        <f t="shared" si="0"/>
        <v>Biodigestão RT1C + CDR TM</v>
      </c>
      <c r="AH3" s="2077" t="str">
        <f t="shared" si="0"/>
        <v>Compostagem + CDR TM</v>
      </c>
      <c r="AI3" s="2077" t="str">
        <f t="shared" si="0"/>
        <v xml:space="preserve">Biosecagem + CDR TMB </v>
      </c>
      <c r="AJ3" s="2077" t="str">
        <f t="shared" si="0"/>
        <v>Incineração Mass Burning</v>
      </c>
      <c r="AK3" s="2077" t="str">
        <f t="shared" si="0"/>
        <v>Incineração Mass Burn. Descentralizada</v>
      </c>
    </row>
    <row r="4" spans="1:37" ht="18" customHeight="1" x14ac:dyDescent="0.2">
      <c r="A4" s="2062"/>
      <c r="B4" s="2219" t="s">
        <v>1280</v>
      </c>
      <c r="C4" s="2441">
        <v>333.78523660527316</v>
      </c>
      <c r="D4" s="2207" t="s">
        <v>1281</v>
      </c>
      <c r="E4" s="2442"/>
      <c r="F4" s="2443" t="s">
        <v>1282</v>
      </c>
      <c r="G4" s="2063"/>
      <c r="J4" s="2063"/>
      <c r="K4" s="2063"/>
      <c r="L4" s="2063"/>
      <c r="M4" s="2444" t="s">
        <v>1283</v>
      </c>
      <c r="N4" s="2077" t="s">
        <v>1284</v>
      </c>
      <c r="O4" s="2077" t="s">
        <v>1179</v>
      </c>
      <c r="P4" s="2077" t="s">
        <v>1179</v>
      </c>
      <c r="Q4" s="2077" t="s">
        <v>1285</v>
      </c>
      <c r="R4" s="2077" t="s">
        <v>427</v>
      </c>
      <c r="S4" s="2077" t="s">
        <v>1286</v>
      </c>
      <c r="T4" s="2077" t="s">
        <v>1112</v>
      </c>
      <c r="U4" s="2077" t="s">
        <v>1110</v>
      </c>
      <c r="V4" s="2077" t="s">
        <v>1113</v>
      </c>
      <c r="AA4" s="2433"/>
      <c r="AB4" s="2063"/>
      <c r="AC4" s="1977" t="s">
        <v>1287</v>
      </c>
      <c r="AD4" s="2445" t="s">
        <v>1288</v>
      </c>
      <c r="AE4" s="2446"/>
      <c r="AF4" s="2446"/>
      <c r="AG4" s="2446"/>
      <c r="AH4" s="2446"/>
      <c r="AI4" s="2446"/>
      <c r="AJ4" s="2446"/>
      <c r="AK4" s="2446"/>
    </row>
    <row r="5" spans="1:37" ht="18" customHeight="1" x14ac:dyDescent="0.2">
      <c r="A5" s="2062"/>
      <c r="B5" s="2219" t="s">
        <v>1289</v>
      </c>
      <c r="C5" s="2441">
        <v>1010.75399769561</v>
      </c>
      <c r="D5" s="2207" t="s">
        <v>1138</v>
      </c>
      <c r="E5" s="2442"/>
      <c r="F5" s="2443" t="s">
        <v>1282</v>
      </c>
      <c r="G5" s="2063"/>
      <c r="J5" s="2063"/>
      <c r="K5" s="2063"/>
      <c r="L5" s="2063"/>
      <c r="M5" s="2431"/>
      <c r="N5" s="2447"/>
      <c r="O5" s="2077" t="s">
        <v>1290</v>
      </c>
      <c r="P5" s="2077" t="s">
        <v>131</v>
      </c>
      <c r="Q5" s="2077" t="s">
        <v>1291</v>
      </c>
      <c r="R5" s="2077" t="s">
        <v>1292</v>
      </c>
      <c r="S5" s="2160"/>
      <c r="T5" s="2160"/>
      <c r="U5" s="2447"/>
      <c r="V5" s="2447"/>
      <c r="AA5" s="2433"/>
      <c r="AB5" s="2063"/>
      <c r="AC5" s="2448" t="s">
        <v>1107</v>
      </c>
      <c r="AD5" s="2449">
        <f t="shared" ref="AD5:AK12" si="1">+D73</f>
        <v>0</v>
      </c>
      <c r="AE5" s="2449">
        <f t="shared" si="1"/>
        <v>0</v>
      </c>
      <c r="AF5" s="2449">
        <f t="shared" si="1"/>
        <v>0</v>
      </c>
      <c r="AG5" s="2449">
        <f t="shared" si="1"/>
        <v>0</v>
      </c>
      <c r="AH5" s="2449">
        <f t="shared" si="1"/>
        <v>0</v>
      </c>
      <c r="AI5" s="2449">
        <f t="shared" si="1"/>
        <v>0</v>
      </c>
      <c r="AJ5" s="2449">
        <f t="shared" si="1"/>
        <v>0</v>
      </c>
      <c r="AK5" s="2449">
        <f t="shared" si="1"/>
        <v>0</v>
      </c>
    </row>
    <row r="6" spans="1:37" ht="18" customHeight="1" x14ac:dyDescent="0.2">
      <c r="A6" s="2062"/>
      <c r="B6" s="2450" t="s">
        <v>1293</v>
      </c>
      <c r="C6" s="2451">
        <f>94*3.6</f>
        <v>338.40000000000003</v>
      </c>
      <c r="D6" s="2207" t="s">
        <v>1138</v>
      </c>
      <c r="E6" s="2164" t="s">
        <v>1294</v>
      </c>
      <c r="F6" s="2443" t="s">
        <v>1282</v>
      </c>
      <c r="G6" s="2063"/>
      <c r="J6" s="2063"/>
      <c r="K6" s="2063"/>
      <c r="L6" s="2063"/>
      <c r="M6" s="2431"/>
      <c r="N6" s="2452" t="s">
        <v>1251</v>
      </c>
      <c r="O6" s="2446">
        <v>90</v>
      </c>
      <c r="P6" s="2446">
        <v>95</v>
      </c>
      <c r="Q6" s="2446">
        <v>1256</v>
      </c>
      <c r="R6" s="2446">
        <f>604*0.8</f>
        <v>483.20000000000005</v>
      </c>
      <c r="S6" s="1922">
        <v>64</v>
      </c>
      <c r="T6" s="1922">
        <v>697</v>
      </c>
      <c r="U6" s="2453">
        <v>410</v>
      </c>
      <c r="V6" s="2446">
        <v>0</v>
      </c>
      <c r="AA6" s="2433"/>
      <c r="AB6" s="2063"/>
      <c r="AC6" s="2448" t="s">
        <v>1108</v>
      </c>
      <c r="AD6" s="2449">
        <f t="shared" si="1"/>
        <v>0</v>
      </c>
      <c r="AE6" s="2449">
        <f t="shared" si="1"/>
        <v>0</v>
      </c>
      <c r="AF6" s="2449">
        <f t="shared" si="1"/>
        <v>0</v>
      </c>
      <c r="AG6" s="2449">
        <f t="shared" si="1"/>
        <v>0</v>
      </c>
      <c r="AH6" s="2449">
        <f t="shared" si="1"/>
        <v>0</v>
      </c>
      <c r="AI6" s="2449">
        <f t="shared" si="1"/>
        <v>0</v>
      </c>
      <c r="AJ6" s="2449">
        <f t="shared" si="1"/>
        <v>0</v>
      </c>
      <c r="AK6" s="2449">
        <f t="shared" si="1"/>
        <v>0</v>
      </c>
    </row>
    <row r="7" spans="1:37" ht="18" customHeight="1" x14ac:dyDescent="0.2">
      <c r="A7" s="2427" t="s">
        <v>1295</v>
      </c>
      <c r="B7" s="2454"/>
      <c r="C7" s="2428"/>
      <c r="D7" s="2428"/>
      <c r="E7" s="2455"/>
      <c r="F7" s="2455"/>
      <c r="G7" s="2455"/>
      <c r="H7" s="2428"/>
      <c r="I7" s="2428"/>
      <c r="J7" s="2428"/>
      <c r="K7" s="2428"/>
      <c r="L7" s="2428"/>
      <c r="M7" s="2431"/>
      <c r="N7" s="2452" t="s">
        <v>1252</v>
      </c>
      <c r="O7" s="2446">
        <v>23.9</v>
      </c>
      <c r="P7" s="2446">
        <v>23.9</v>
      </c>
      <c r="Q7" s="2446">
        <v>1548</v>
      </c>
      <c r="R7" s="2446">
        <v>604</v>
      </c>
      <c r="S7" s="1922">
        <v>1712</v>
      </c>
      <c r="T7" s="1922">
        <v>9880</v>
      </c>
      <c r="U7" s="2453">
        <f>1870*0.3+1630*0.29+2190*0.13+1990*0.19+2370*0.09</f>
        <v>1909.8</v>
      </c>
      <c r="V7" s="2446">
        <v>0</v>
      </c>
      <c r="AA7" s="2433"/>
      <c r="AB7" s="2063"/>
      <c r="AC7" s="2448" t="s">
        <v>1109</v>
      </c>
      <c r="AD7" s="2449">
        <f t="shared" si="1"/>
        <v>1912.6000000000001</v>
      </c>
      <c r="AE7" s="2449">
        <f t="shared" si="1"/>
        <v>6368.9580000000005</v>
      </c>
      <c r="AF7" s="2449">
        <f t="shared" si="1"/>
        <v>6368.9580000000005</v>
      </c>
      <c r="AG7" s="2449">
        <f t="shared" si="1"/>
        <v>6368.9580000000005</v>
      </c>
      <c r="AH7" s="2449">
        <f t="shared" si="1"/>
        <v>6368.9580000000005</v>
      </c>
      <c r="AI7" s="2449">
        <f t="shared" si="1"/>
        <v>6368.9580000000005</v>
      </c>
      <c r="AJ7" s="2449">
        <f t="shared" si="1"/>
        <v>6368.9580000000005</v>
      </c>
      <c r="AK7" s="2449">
        <f t="shared" si="1"/>
        <v>6368.9580000000005</v>
      </c>
    </row>
    <row r="8" spans="1:37" ht="18" customHeight="1" x14ac:dyDescent="0.2">
      <c r="A8" s="2063"/>
      <c r="B8" s="2063"/>
      <c r="C8" s="2063"/>
      <c r="D8" s="2063"/>
      <c r="E8" s="2063"/>
      <c r="F8" s="2063"/>
      <c r="G8" s="2063"/>
      <c r="H8" s="2980" t="s">
        <v>1296</v>
      </c>
      <c r="I8" s="2981"/>
      <c r="J8" s="2082"/>
      <c r="K8" s="2082"/>
      <c r="M8" s="2431"/>
      <c r="N8" s="2304" t="s">
        <v>1297</v>
      </c>
      <c r="O8" s="2456">
        <f t="shared" ref="O8:R8" si="2">+O6-O7</f>
        <v>66.099999999999994</v>
      </c>
      <c r="P8" s="2456">
        <f t="shared" si="2"/>
        <v>71.099999999999994</v>
      </c>
      <c r="Q8" s="2456">
        <f t="shared" si="2"/>
        <v>-292</v>
      </c>
      <c r="R8" s="2456">
        <f t="shared" si="2"/>
        <v>-120.79999999999995</v>
      </c>
      <c r="S8" s="2456">
        <f>+S6-S7</f>
        <v>-1648</v>
      </c>
      <c r="T8" s="2456">
        <f>+T6-T7</f>
        <v>-9183</v>
      </c>
      <c r="U8" s="2456">
        <f>+U6-U7</f>
        <v>-1499.8</v>
      </c>
      <c r="V8" s="2456">
        <f>+V6-V7</f>
        <v>0</v>
      </c>
      <c r="AA8" s="2433"/>
      <c r="AB8" s="2063"/>
      <c r="AC8" s="2448" t="s">
        <v>1110</v>
      </c>
      <c r="AD8" s="2449">
        <f t="shared" si="1"/>
        <v>1971</v>
      </c>
      <c r="AE8" s="2449">
        <f t="shared" si="1"/>
        <v>4336.2</v>
      </c>
      <c r="AF8" s="2449">
        <f t="shared" si="1"/>
        <v>4336.2</v>
      </c>
      <c r="AG8" s="2449">
        <f t="shared" si="1"/>
        <v>4336.2</v>
      </c>
      <c r="AH8" s="2449">
        <f t="shared" si="1"/>
        <v>4336.2</v>
      </c>
      <c r="AI8" s="2449">
        <f t="shared" si="1"/>
        <v>4336.2</v>
      </c>
      <c r="AJ8" s="2449">
        <f t="shared" si="1"/>
        <v>4336.2</v>
      </c>
      <c r="AK8" s="2449">
        <f t="shared" si="1"/>
        <v>4336.2</v>
      </c>
    </row>
    <row r="9" spans="1:37" ht="18" customHeight="1" x14ac:dyDescent="0.2">
      <c r="A9" s="2063"/>
      <c r="B9" s="2457"/>
      <c r="C9" s="2458" t="s">
        <v>1298</v>
      </c>
      <c r="D9" s="2459"/>
      <c r="E9" s="2063"/>
      <c r="F9" s="2063"/>
      <c r="G9" s="2063"/>
      <c r="H9" s="2460" t="s">
        <v>1299</v>
      </c>
      <c r="I9" s="2460" t="s">
        <v>1300</v>
      </c>
      <c r="J9" s="2460" t="s">
        <v>1299</v>
      </c>
      <c r="M9" s="2431"/>
      <c r="N9" s="2063"/>
      <c r="O9" s="2063"/>
      <c r="P9" s="2063"/>
      <c r="Q9" s="2063"/>
      <c r="R9" s="2063"/>
      <c r="S9" s="2063"/>
      <c r="T9" s="2063"/>
      <c r="U9" s="2063"/>
      <c r="V9" s="2063"/>
      <c r="W9" s="2063"/>
      <c r="X9" s="2063"/>
      <c r="Z9" s="2063"/>
      <c r="AA9" s="2433"/>
      <c r="AB9" s="2063"/>
      <c r="AC9" s="2448" t="s">
        <v>50</v>
      </c>
      <c r="AD9" s="2449">
        <f t="shared" si="1"/>
        <v>0</v>
      </c>
      <c r="AE9" s="2449">
        <f t="shared" si="1"/>
        <v>0</v>
      </c>
      <c r="AF9" s="2449">
        <f t="shared" si="1"/>
        <v>0</v>
      </c>
      <c r="AG9" s="2449">
        <f t="shared" si="1"/>
        <v>0</v>
      </c>
      <c r="AH9" s="2449">
        <f t="shared" si="1"/>
        <v>0</v>
      </c>
      <c r="AI9" s="2449">
        <f t="shared" si="1"/>
        <v>0</v>
      </c>
      <c r="AJ9" s="2449">
        <f t="shared" si="1"/>
        <v>0</v>
      </c>
      <c r="AK9" s="2449">
        <f t="shared" si="1"/>
        <v>0</v>
      </c>
    </row>
    <row r="10" spans="1:37" ht="18" customHeight="1" x14ac:dyDescent="0.2">
      <c r="A10" s="2063"/>
      <c r="B10" s="2461" t="s">
        <v>1301</v>
      </c>
      <c r="C10" s="1960" t="s">
        <v>1299</v>
      </c>
      <c r="D10" s="1960" t="s">
        <v>1302</v>
      </c>
      <c r="E10" s="2063"/>
      <c r="F10" s="2063"/>
      <c r="G10" s="2063"/>
      <c r="H10" s="2304" t="s">
        <v>1303</v>
      </c>
      <c r="I10" s="2304" t="s">
        <v>1304</v>
      </c>
      <c r="J10" s="2462" t="s">
        <v>1304</v>
      </c>
      <c r="M10" s="2431"/>
      <c r="N10" s="1987" t="s">
        <v>1305</v>
      </c>
      <c r="O10" s="1988"/>
      <c r="P10" s="2463" t="s">
        <v>1306</v>
      </c>
      <c r="Q10" s="2464"/>
      <c r="R10" s="2446">
        <v>100</v>
      </c>
      <c r="S10" s="2062" t="s">
        <v>1307</v>
      </c>
      <c r="T10" s="2062"/>
      <c r="U10" s="2062"/>
      <c r="V10" s="2063"/>
      <c r="W10" s="2063"/>
      <c r="X10" s="2063"/>
      <c r="Z10" s="2432"/>
      <c r="AA10" s="2433"/>
      <c r="AB10" s="2063"/>
      <c r="AC10" s="2448" t="s">
        <v>1111</v>
      </c>
      <c r="AD10" s="2449">
        <f t="shared" si="1"/>
        <v>671.6</v>
      </c>
      <c r="AE10" s="2449">
        <f t="shared" si="1"/>
        <v>3190.1</v>
      </c>
      <c r="AF10" s="2449">
        <f t="shared" si="1"/>
        <v>3190.1</v>
      </c>
      <c r="AG10" s="2449">
        <f t="shared" si="1"/>
        <v>3190.1</v>
      </c>
      <c r="AH10" s="2449">
        <f t="shared" si="1"/>
        <v>3190.1</v>
      </c>
      <c r="AI10" s="2449">
        <f t="shared" si="1"/>
        <v>3190.1</v>
      </c>
      <c r="AJ10" s="2449">
        <f t="shared" si="1"/>
        <v>3190.1</v>
      </c>
      <c r="AK10" s="2449">
        <f t="shared" si="1"/>
        <v>3190.1</v>
      </c>
    </row>
    <row r="11" spans="1:37" ht="18" customHeight="1" x14ac:dyDescent="0.2">
      <c r="A11" s="2063"/>
      <c r="B11" s="2448" t="s">
        <v>1107</v>
      </c>
      <c r="C11" s="2465">
        <v>0.152</v>
      </c>
      <c r="D11" s="2466">
        <v>0</v>
      </c>
      <c r="E11" s="2062" t="s">
        <v>1304</v>
      </c>
      <c r="F11" s="2062"/>
      <c r="G11" s="2062"/>
      <c r="H11" s="2211">
        <v>0.38</v>
      </c>
      <c r="I11" s="2211">
        <v>0.4</v>
      </c>
      <c r="J11" s="2467">
        <f t="shared" ref="J11:J23" si="3">+I11*H11</f>
        <v>0.15200000000000002</v>
      </c>
      <c r="M11" s="2431"/>
      <c r="N11" s="2063"/>
      <c r="O11" s="2063"/>
      <c r="P11" s="2463" t="s">
        <v>1308</v>
      </c>
      <c r="Q11" s="2464"/>
      <c r="R11" s="2466">
        <v>0.6</v>
      </c>
      <c r="S11" s="2062" t="s">
        <v>1309</v>
      </c>
      <c r="T11" s="2062"/>
      <c r="U11" s="2062"/>
      <c r="V11" s="2063"/>
      <c r="W11" s="2063"/>
      <c r="X11" s="2063"/>
      <c r="Z11" s="2432"/>
      <c r="AA11" s="2433"/>
      <c r="AB11" s="2063"/>
      <c r="AC11" s="2448" t="s">
        <v>1112</v>
      </c>
      <c r="AD11" s="2449">
        <f t="shared" si="1"/>
        <v>175.20000000000002</v>
      </c>
      <c r="AE11" s="2449">
        <f t="shared" si="1"/>
        <v>832.19999999999993</v>
      </c>
      <c r="AF11" s="2449">
        <f t="shared" si="1"/>
        <v>832.19999999999993</v>
      </c>
      <c r="AG11" s="2449">
        <f t="shared" si="1"/>
        <v>832.19999999999993</v>
      </c>
      <c r="AH11" s="2449">
        <f t="shared" si="1"/>
        <v>832.19999999999993</v>
      </c>
      <c r="AI11" s="2449">
        <f t="shared" si="1"/>
        <v>832.19999999999993</v>
      </c>
      <c r="AJ11" s="2449">
        <f t="shared" si="1"/>
        <v>832.19999999999993</v>
      </c>
      <c r="AK11" s="2449">
        <f t="shared" si="1"/>
        <v>832.19999999999993</v>
      </c>
    </row>
    <row r="12" spans="1:37" ht="18" customHeight="1" x14ac:dyDescent="0.2">
      <c r="A12" s="2063"/>
      <c r="B12" s="2448" t="s">
        <v>1108</v>
      </c>
      <c r="C12" s="2465">
        <v>0.19600000000000001</v>
      </c>
      <c r="D12" s="2466">
        <v>0</v>
      </c>
      <c r="E12" s="2062" t="s">
        <v>1304</v>
      </c>
      <c r="F12" s="2062"/>
      <c r="G12" s="2062"/>
      <c r="H12" s="2211">
        <v>0.49</v>
      </c>
      <c r="I12" s="2211">
        <v>0.4</v>
      </c>
      <c r="J12" s="2467">
        <f t="shared" si="3"/>
        <v>0.19600000000000001</v>
      </c>
      <c r="M12" s="2431"/>
      <c r="N12" s="2063"/>
      <c r="O12" s="2063"/>
      <c r="P12" s="2463" t="s">
        <v>1310</v>
      </c>
      <c r="Q12" s="2464"/>
      <c r="R12" s="2466">
        <v>0.3</v>
      </c>
      <c r="S12" s="2062" t="s">
        <v>194</v>
      </c>
      <c r="T12" s="2062"/>
      <c r="U12" s="2062"/>
      <c r="V12" s="2063"/>
      <c r="W12" s="2063"/>
      <c r="X12" s="2063"/>
      <c r="Z12" s="2432"/>
      <c r="AA12" s="2433"/>
      <c r="AB12" s="2063"/>
      <c r="AC12" s="2448" t="s">
        <v>1113</v>
      </c>
      <c r="AD12" s="2449">
        <f t="shared" si="1"/>
        <v>0</v>
      </c>
      <c r="AE12" s="2449">
        <f t="shared" si="1"/>
        <v>0</v>
      </c>
      <c r="AF12" s="2449">
        <f t="shared" si="1"/>
        <v>0</v>
      </c>
      <c r="AG12" s="2449">
        <f t="shared" si="1"/>
        <v>0</v>
      </c>
      <c r="AH12" s="2449">
        <f t="shared" si="1"/>
        <v>0</v>
      </c>
      <c r="AI12" s="2449">
        <f t="shared" si="1"/>
        <v>0</v>
      </c>
      <c r="AJ12" s="2449">
        <f t="shared" si="1"/>
        <v>0</v>
      </c>
      <c r="AK12" s="2449">
        <f t="shared" si="1"/>
        <v>0</v>
      </c>
    </row>
    <row r="13" spans="1:37" ht="18" customHeight="1" x14ac:dyDescent="0.2">
      <c r="A13" s="2468"/>
      <c r="B13" s="2448" t="s">
        <v>1109</v>
      </c>
      <c r="C13" s="2465">
        <v>0.41399999999999998</v>
      </c>
      <c r="D13" s="2466">
        <v>0.01</v>
      </c>
      <c r="E13" s="2062" t="s">
        <v>1304</v>
      </c>
      <c r="F13" s="2062"/>
      <c r="G13" s="2062"/>
      <c r="H13" s="2211">
        <v>0.46</v>
      </c>
      <c r="I13" s="2211">
        <v>0.9</v>
      </c>
      <c r="J13" s="2467">
        <f t="shared" si="3"/>
        <v>0.41400000000000003</v>
      </c>
      <c r="M13" s="2431"/>
      <c r="N13" s="2063"/>
      <c r="O13" s="2063"/>
      <c r="P13" s="2463" t="s">
        <v>1311</v>
      </c>
      <c r="Q13" s="2464"/>
      <c r="R13" s="2446">
        <f>+R10*R11*10*R12</f>
        <v>180</v>
      </c>
      <c r="S13" s="2062" t="s">
        <v>1312</v>
      </c>
      <c r="T13" s="2062"/>
      <c r="U13" s="2062"/>
      <c r="V13" s="2063"/>
      <c r="W13" s="2063"/>
      <c r="X13" s="2063"/>
      <c r="Z13" s="2432"/>
      <c r="AA13" s="2433"/>
      <c r="AB13" s="2063"/>
      <c r="AC13" s="2469" t="s">
        <v>1313</v>
      </c>
      <c r="AD13" s="2305">
        <f t="shared" ref="AD13:AJ13" si="4">SUM(AD5:AD12)</f>
        <v>4730.4000000000005</v>
      </c>
      <c r="AE13" s="2305">
        <f t="shared" si="4"/>
        <v>14727.458000000001</v>
      </c>
      <c r="AF13" s="2305">
        <f t="shared" ref="AF13" si="5">SUM(AF5:AF12)</f>
        <v>14727.458000000001</v>
      </c>
      <c r="AG13" s="2305">
        <f t="shared" si="4"/>
        <v>14727.458000000001</v>
      </c>
      <c r="AH13" s="2305">
        <f t="shared" si="4"/>
        <v>14727.458000000001</v>
      </c>
      <c r="AI13" s="2305">
        <f t="shared" si="4"/>
        <v>14727.458000000001</v>
      </c>
      <c r="AJ13" s="2305">
        <f t="shared" si="4"/>
        <v>14727.458000000001</v>
      </c>
      <c r="AK13" s="2305">
        <f t="shared" ref="AK13" si="6">SUM(AK5:AK12)</f>
        <v>14727.458000000001</v>
      </c>
    </row>
    <row r="14" spans="1:37" ht="18" customHeight="1" x14ac:dyDescent="0.2">
      <c r="A14" s="2063"/>
      <c r="B14" s="2448" t="s">
        <v>1110</v>
      </c>
      <c r="C14" s="2465">
        <v>0.75</v>
      </c>
      <c r="D14" s="2466">
        <v>1</v>
      </c>
      <c r="E14" s="2062" t="s">
        <v>1304</v>
      </c>
      <c r="F14" s="2062"/>
      <c r="G14" s="2062"/>
      <c r="H14" s="2211">
        <v>0.75</v>
      </c>
      <c r="I14" s="2211">
        <v>1</v>
      </c>
      <c r="J14" s="2467">
        <f t="shared" si="3"/>
        <v>0.75</v>
      </c>
      <c r="M14" s="2431"/>
      <c r="N14" s="2063"/>
      <c r="O14" s="2063"/>
      <c r="P14" s="2463" t="s">
        <v>1314</v>
      </c>
      <c r="Q14" s="2464"/>
      <c r="R14" s="2470">
        <f>R10*R11*10</f>
        <v>600</v>
      </c>
      <c r="S14" s="2062" t="s">
        <v>1312</v>
      </c>
      <c r="T14" s="2062"/>
      <c r="U14" s="2062"/>
      <c r="V14" s="2063"/>
      <c r="W14" s="2063"/>
      <c r="X14" s="2063"/>
      <c r="Z14" s="2432"/>
      <c r="AA14" s="2433"/>
      <c r="AB14" s="2063"/>
      <c r="AC14" s="2438"/>
      <c r="AD14" s="2062"/>
      <c r="AE14" s="2062"/>
      <c r="AF14" s="2062"/>
      <c r="AG14" s="2062"/>
      <c r="AH14" s="2062"/>
      <c r="AI14" s="2062"/>
      <c r="AJ14" s="2062"/>
      <c r="AK14" s="2062"/>
    </row>
    <row r="15" spans="1:37" ht="18" customHeight="1" x14ac:dyDescent="0.2">
      <c r="A15" s="2063"/>
      <c r="B15" s="2448" t="s">
        <v>50</v>
      </c>
      <c r="C15" s="2466">
        <v>0</v>
      </c>
      <c r="D15" s="2466">
        <v>0</v>
      </c>
      <c r="E15" s="2062" t="s">
        <v>1304</v>
      </c>
      <c r="F15" s="2062"/>
      <c r="G15" s="2062"/>
      <c r="H15" s="2211">
        <v>0</v>
      </c>
      <c r="I15" s="2211">
        <v>1</v>
      </c>
      <c r="J15" s="2467">
        <f t="shared" si="3"/>
        <v>0</v>
      </c>
      <c r="M15" s="2444" t="s">
        <v>1283</v>
      </c>
      <c r="N15" s="2062"/>
      <c r="O15" s="2063"/>
      <c r="P15" s="2063"/>
      <c r="Q15" s="2063"/>
      <c r="R15" s="2063"/>
      <c r="S15" s="2063"/>
      <c r="T15" s="2063"/>
      <c r="U15" s="2063"/>
      <c r="V15" s="2063"/>
      <c r="W15" s="2063"/>
      <c r="X15" s="2063"/>
      <c r="Y15" s="2063"/>
      <c r="Z15" s="2432"/>
      <c r="AA15" s="2433"/>
      <c r="AB15" s="2063"/>
      <c r="AC15" s="1977" t="s">
        <v>1251</v>
      </c>
      <c r="AD15" s="2471" t="s">
        <v>1315</v>
      </c>
      <c r="AE15" s="2062"/>
      <c r="AF15" s="2062"/>
      <c r="AG15" s="2062"/>
      <c r="AH15" s="2062"/>
      <c r="AI15" s="2062"/>
      <c r="AJ15" s="2062"/>
      <c r="AK15" s="2062"/>
    </row>
    <row r="16" spans="1:37" ht="18" customHeight="1" x14ac:dyDescent="0.2">
      <c r="A16" s="2063"/>
      <c r="B16" s="2448" t="s">
        <v>1316</v>
      </c>
      <c r="C16" s="2466">
        <v>0</v>
      </c>
      <c r="D16" s="2466">
        <v>0</v>
      </c>
      <c r="E16" s="2062" t="s">
        <v>1304</v>
      </c>
      <c r="F16" s="2062"/>
      <c r="G16" s="2062"/>
      <c r="H16" s="2211">
        <v>0</v>
      </c>
      <c r="I16" s="2211">
        <v>1</v>
      </c>
      <c r="J16" s="2467">
        <f t="shared" si="3"/>
        <v>0</v>
      </c>
      <c r="M16" s="2431"/>
      <c r="N16" s="1987" t="s">
        <v>1317</v>
      </c>
      <c r="O16" s="1988"/>
      <c r="P16" s="2197"/>
      <c r="Q16" s="2063"/>
      <c r="R16" s="2063"/>
      <c r="S16" s="2063"/>
      <c r="T16" s="2063"/>
      <c r="U16" s="2063"/>
      <c r="V16" s="2063"/>
      <c r="W16" s="2063"/>
      <c r="X16" s="2063"/>
      <c r="Y16" s="2063"/>
      <c r="Z16" s="2432"/>
      <c r="AA16" s="2433"/>
      <c r="AB16" s="2063"/>
      <c r="AC16" s="2448" t="str">
        <f t="shared" ref="AC16:AC23" si="7">+$AC5</f>
        <v>Resíduos de alimentos</v>
      </c>
      <c r="AD16" s="2449">
        <f>+AD5*((1-'CO2 - Reciclagem'!E31)*$P$6+'CO2 - Reciclagem'!E31*$O$6)/1000</f>
        <v>0</v>
      </c>
      <c r="AE16" s="2449">
        <f>+AE5*((1-'CO2 - Reciclagem'!G31)*$P$6+'CO2 - Reciclagem'!G31*$O$6)/1000</f>
        <v>0</v>
      </c>
      <c r="AF16" s="2449">
        <f>+AF5*((1-'CO2 - Reciclagem'!H31)*$P$6+'CO2 - Reciclagem'!H31*$O$6)/1000</f>
        <v>0</v>
      </c>
      <c r="AG16" s="2449">
        <f>+AG5*((1-'CO2 - Reciclagem'!I31)*$P$6+'CO2 - Reciclagem'!I31*$O$6)/1000</f>
        <v>0</v>
      </c>
      <c r="AH16" s="2449">
        <f>+AH5*((1-'CO2 - Reciclagem'!J31)*$P$6+'CO2 - Reciclagem'!J31*$O$6)/1000</f>
        <v>0</v>
      </c>
      <c r="AI16" s="2449">
        <f>+AI5*((1-'CO2 - Reciclagem'!K31)*$P$6+'CO2 - Reciclagem'!K31*$O$6)/1000</f>
        <v>0</v>
      </c>
      <c r="AJ16" s="2449">
        <f>+AJ5*((1-'CO2 - Reciclagem'!L31)*$P$6+'CO2 - Reciclagem'!L31*$O$6)/1000</f>
        <v>0</v>
      </c>
      <c r="AK16" s="2449">
        <f>+AK5*((1-'CO2 - Reciclagem'!M31)*$P$6+'CO2 - Reciclagem'!M31*$O$6)/1000</f>
        <v>0</v>
      </c>
    </row>
    <row r="17" spans="1:37" ht="18" customHeight="1" x14ac:dyDescent="0.2">
      <c r="A17" s="2063"/>
      <c r="B17" s="2448" t="s">
        <v>1112</v>
      </c>
      <c r="C17" s="2466">
        <v>0</v>
      </c>
      <c r="D17" s="2466">
        <v>0</v>
      </c>
      <c r="E17" s="2062" t="s">
        <v>1304</v>
      </c>
      <c r="F17" s="2062"/>
      <c r="G17" s="2062"/>
      <c r="H17" s="2211">
        <v>0</v>
      </c>
      <c r="I17" s="2211">
        <v>1</v>
      </c>
      <c r="J17" s="2467">
        <f t="shared" si="3"/>
        <v>0</v>
      </c>
      <c r="M17" s="2431"/>
      <c r="N17" s="2082"/>
      <c r="O17" s="2082"/>
      <c r="P17" s="2082"/>
      <c r="Q17" s="2077" t="str">
        <f>+$D$72</f>
        <v>Cenário-Base</v>
      </c>
      <c r="R17" s="2077" t="str">
        <f t="shared" ref="R17:X17" si="8">+E72</f>
        <v>Biodigestão RT1A + CDR TM</v>
      </c>
      <c r="S17" s="2077" t="str">
        <f t="shared" si="8"/>
        <v>Biodigestão RT1B + CDR TM</v>
      </c>
      <c r="T17" s="2077" t="str">
        <f t="shared" si="8"/>
        <v>Biodigestão RT1C + CDR TM</v>
      </c>
      <c r="U17" s="2077" t="str">
        <f t="shared" si="8"/>
        <v>Compostagem + CDR TM</v>
      </c>
      <c r="V17" s="2077" t="str">
        <f t="shared" si="8"/>
        <v xml:space="preserve">Biosecagem + CDR TMB </v>
      </c>
      <c r="W17" s="2077" t="str">
        <f t="shared" si="8"/>
        <v>Incineração Mass Burning</v>
      </c>
      <c r="X17" s="2077" t="str">
        <f t="shared" si="8"/>
        <v>Incineração Mass Burn. Descentralizada</v>
      </c>
      <c r="Y17" s="2063"/>
      <c r="Z17" s="2432"/>
      <c r="AA17" s="2433"/>
      <c r="AB17" s="2063"/>
      <c r="AC17" s="2448" t="str">
        <f t="shared" si="7"/>
        <v>Resíduos de jardins e parques</v>
      </c>
      <c r="AD17" s="2449">
        <f>+AD6*((1-'CO2 - Reciclagem'!E31)*$P$6+'CO2 - Reciclagem'!E31*$O$6)/1000</f>
        <v>0</v>
      </c>
      <c r="AE17" s="2449">
        <f>+AE6*((1-'CO2 - Reciclagem'!G31)*$P$6+'CO2 - Reciclagem'!G31*$O$6)/1000</f>
        <v>0</v>
      </c>
      <c r="AF17" s="2449">
        <f>+AF6*((1-'CO2 - Reciclagem'!H31)*$P$6+'CO2 - Reciclagem'!H31*$O$6)/1000</f>
        <v>0</v>
      </c>
      <c r="AG17" s="2449">
        <f>+AG6*((1-'CO2 - Reciclagem'!I31)*$P$6+'CO2 - Reciclagem'!I31*$O$6)/1000</f>
        <v>0</v>
      </c>
      <c r="AH17" s="2449">
        <f>+AH6*((1-'CO2 - Reciclagem'!J31)*$P$6+'CO2 - Reciclagem'!J31*$O$6)/1000</f>
        <v>0</v>
      </c>
      <c r="AI17" s="2449">
        <f>+AI6*((1-'CO2 - Reciclagem'!K31)*$P$6+'CO2 - Reciclagem'!K31*$O$6)/1000</f>
        <v>0</v>
      </c>
      <c r="AJ17" s="2449">
        <f>+AJ6*((1-'CO2 - Reciclagem'!L31)*$P$6+'CO2 - Reciclagem'!L31*$O$6)/1000</f>
        <v>0</v>
      </c>
      <c r="AK17" s="2449">
        <f>+AK6*((1-'CO2 - Reciclagem'!M31)*$P$6+'CO2 - Reciclagem'!M31*$O$6)/1000</f>
        <v>0</v>
      </c>
    </row>
    <row r="18" spans="1:37" ht="18" customHeight="1" x14ac:dyDescent="0.2">
      <c r="A18" s="2063"/>
      <c r="B18" s="2448" t="s">
        <v>1113</v>
      </c>
      <c r="C18" s="2465">
        <v>0.4</v>
      </c>
      <c r="D18" s="2466">
        <v>0.2</v>
      </c>
      <c r="E18" s="2062" t="s">
        <v>1304</v>
      </c>
      <c r="F18" s="2062"/>
      <c r="G18" s="2062"/>
      <c r="H18" s="2211">
        <v>0.5</v>
      </c>
      <c r="I18" s="2211">
        <v>0.8</v>
      </c>
      <c r="J18" s="2467">
        <f t="shared" si="3"/>
        <v>0.4</v>
      </c>
      <c r="M18" s="2431"/>
      <c r="N18" s="2463" t="s">
        <v>1194</v>
      </c>
      <c r="O18" s="2464"/>
      <c r="P18" s="2472"/>
      <c r="Q18" s="2470"/>
      <c r="R18" s="2470"/>
      <c r="S18" s="2470"/>
      <c r="T18" s="2470"/>
      <c r="U18" s="2470"/>
      <c r="V18" s="2470"/>
      <c r="W18" s="2470"/>
      <c r="X18" s="2470"/>
      <c r="Y18" s="2063"/>
      <c r="Z18" s="2432"/>
      <c r="AA18" s="2433"/>
      <c r="AB18" s="2063"/>
      <c r="AC18" s="2448" t="str">
        <f t="shared" si="7"/>
        <v>Papel, papelão</v>
      </c>
      <c r="AD18" s="2449">
        <f t="shared" ref="AD18:AK18" si="9">+AD7*$Q$6/1000</f>
        <v>2402.2256000000002</v>
      </c>
      <c r="AE18" s="2449">
        <f t="shared" si="9"/>
        <v>7999.4112480000003</v>
      </c>
      <c r="AF18" s="2449">
        <f t="shared" si="9"/>
        <v>7999.4112480000003</v>
      </c>
      <c r="AG18" s="2449">
        <f t="shared" si="9"/>
        <v>7999.4112480000003</v>
      </c>
      <c r="AH18" s="2449">
        <f t="shared" si="9"/>
        <v>7999.4112480000003</v>
      </c>
      <c r="AI18" s="2449">
        <f t="shared" si="9"/>
        <v>7999.4112480000003</v>
      </c>
      <c r="AJ18" s="2449">
        <f t="shared" si="9"/>
        <v>7999.4112480000003</v>
      </c>
      <c r="AK18" s="2449">
        <f t="shared" si="9"/>
        <v>7999.4112480000003</v>
      </c>
    </row>
    <row r="19" spans="1:37" ht="18" customHeight="1" x14ac:dyDescent="0.2">
      <c r="A19" s="2063"/>
      <c r="B19" s="2448" t="s">
        <v>1318</v>
      </c>
      <c r="C19" s="2465">
        <v>0.56299999999999994</v>
      </c>
      <c r="D19" s="2466">
        <v>0.2</v>
      </c>
      <c r="E19" s="2062" t="s">
        <v>1304</v>
      </c>
      <c r="F19" s="2062"/>
      <c r="G19" s="2062"/>
      <c r="H19" s="2211">
        <v>0.67</v>
      </c>
      <c r="I19" s="2211">
        <v>0.84</v>
      </c>
      <c r="J19" s="2467">
        <f t="shared" si="3"/>
        <v>0.56279999999999997</v>
      </c>
      <c r="M19" s="2431"/>
      <c r="N19" s="2473" t="s">
        <v>1319</v>
      </c>
      <c r="O19" s="2464"/>
      <c r="P19" s="2472"/>
      <c r="Q19" s="2474">
        <f t="shared" ref="Q19:X19" si="10">+D120</f>
        <v>0.10246513642000825</v>
      </c>
      <c r="R19" s="2474">
        <f t="shared" si="10"/>
        <v>9.6614717142294707E-2</v>
      </c>
      <c r="S19" s="2474">
        <f t="shared" si="10"/>
        <v>9.6614717142294707E-2</v>
      </c>
      <c r="T19" s="2474">
        <f t="shared" si="10"/>
        <v>9.6614717142294707E-2</v>
      </c>
      <c r="U19" s="2474">
        <f t="shared" si="10"/>
        <v>9.6614717142294707E-2</v>
      </c>
      <c r="V19" s="2474">
        <f t="shared" si="10"/>
        <v>9.6614717142294707E-2</v>
      </c>
      <c r="W19" s="2474">
        <f t="shared" si="10"/>
        <v>9.6614717142294707E-2</v>
      </c>
      <c r="X19" s="2474">
        <f t="shared" si="10"/>
        <v>9.6614717142294707E-2</v>
      </c>
      <c r="Y19" s="2062" t="s">
        <v>1304</v>
      </c>
      <c r="Z19" s="2432"/>
      <c r="AA19" s="2433"/>
      <c r="AB19" s="2063"/>
      <c r="AC19" s="2448" t="str">
        <f t="shared" si="7"/>
        <v>Plásticos</v>
      </c>
      <c r="AD19" s="2449">
        <f t="shared" ref="AD19:AK19" si="11">+AD8*$U$6/1000</f>
        <v>808.11</v>
      </c>
      <c r="AE19" s="2449">
        <f t="shared" si="11"/>
        <v>1777.8420000000001</v>
      </c>
      <c r="AF19" s="2449">
        <f t="shared" si="11"/>
        <v>1777.8420000000001</v>
      </c>
      <c r="AG19" s="2449">
        <f t="shared" si="11"/>
        <v>1777.8420000000001</v>
      </c>
      <c r="AH19" s="2449">
        <f t="shared" si="11"/>
        <v>1777.8420000000001</v>
      </c>
      <c r="AI19" s="2449">
        <f t="shared" si="11"/>
        <v>1777.8420000000001</v>
      </c>
      <c r="AJ19" s="2449">
        <f t="shared" si="11"/>
        <v>1777.8420000000001</v>
      </c>
      <c r="AK19" s="2449">
        <f t="shared" si="11"/>
        <v>1777.8420000000001</v>
      </c>
    </row>
    <row r="20" spans="1:37" ht="18" customHeight="1" x14ac:dyDescent="0.2">
      <c r="A20" s="2063"/>
      <c r="B20" s="2448" t="s">
        <v>1320</v>
      </c>
      <c r="C20" s="2465">
        <v>0.28000000000000003</v>
      </c>
      <c r="D20" s="2466">
        <v>0.1</v>
      </c>
      <c r="E20" s="2062" t="s">
        <v>1304</v>
      </c>
      <c r="F20" s="2062"/>
      <c r="G20" s="2062"/>
      <c r="H20" s="2211">
        <v>0.7</v>
      </c>
      <c r="I20" s="2211">
        <v>0.4</v>
      </c>
      <c r="J20" s="2467">
        <f t="shared" si="3"/>
        <v>0.27999999999999997</v>
      </c>
      <c r="M20" s="2431"/>
      <c r="N20" s="2463" t="s">
        <v>1321</v>
      </c>
      <c r="O20" s="2475"/>
      <c r="P20" s="2476"/>
      <c r="Q20" s="2477">
        <f t="shared" ref="Q20:X20" si="12">+Q19*44/12*1000</f>
        <v>375.70550020669691</v>
      </c>
      <c r="R20" s="2477">
        <f t="shared" si="12"/>
        <v>354.25396285508054</v>
      </c>
      <c r="S20" s="2477">
        <f t="shared" si="12"/>
        <v>354.25396285508054</v>
      </c>
      <c r="T20" s="2477">
        <f t="shared" si="12"/>
        <v>354.25396285508054</v>
      </c>
      <c r="U20" s="2477">
        <f t="shared" si="12"/>
        <v>354.25396285508054</v>
      </c>
      <c r="V20" s="2477">
        <f t="shared" si="12"/>
        <v>354.25396285508054</v>
      </c>
      <c r="W20" s="2477">
        <f t="shared" si="12"/>
        <v>354.25396285508054</v>
      </c>
      <c r="X20" s="2477">
        <f t="shared" si="12"/>
        <v>354.25396285508054</v>
      </c>
      <c r="Y20" s="2471" t="s">
        <v>1322</v>
      </c>
      <c r="Z20" s="2432"/>
      <c r="AA20" s="2433"/>
      <c r="AB20" s="2063"/>
      <c r="AC20" s="2448" t="str">
        <f t="shared" si="7"/>
        <v>Vidros</v>
      </c>
      <c r="AD20" s="2449">
        <f t="shared" ref="AD20:AK20" si="13">+AD9*$R$6/1000</f>
        <v>0</v>
      </c>
      <c r="AE20" s="2449">
        <f t="shared" si="13"/>
        <v>0</v>
      </c>
      <c r="AF20" s="2449">
        <f t="shared" si="13"/>
        <v>0</v>
      </c>
      <c r="AG20" s="2449">
        <f t="shared" si="13"/>
        <v>0</v>
      </c>
      <c r="AH20" s="2449">
        <f t="shared" si="13"/>
        <v>0</v>
      </c>
      <c r="AI20" s="2449">
        <f t="shared" si="13"/>
        <v>0</v>
      </c>
      <c r="AJ20" s="2449">
        <f t="shared" si="13"/>
        <v>0</v>
      </c>
      <c r="AK20" s="2449">
        <f t="shared" si="13"/>
        <v>0</v>
      </c>
    </row>
    <row r="21" spans="1:37" ht="18" customHeight="1" x14ac:dyDescent="0.2">
      <c r="A21" s="2063"/>
      <c r="B21" s="2448" t="s">
        <v>1116</v>
      </c>
      <c r="C21" s="2465">
        <v>0.42499999999999999</v>
      </c>
      <c r="D21" s="2466">
        <v>0</v>
      </c>
      <c r="E21" s="2062" t="s">
        <v>1304</v>
      </c>
      <c r="F21" s="2062"/>
      <c r="G21" s="2062"/>
      <c r="H21" s="2211">
        <v>0.5</v>
      </c>
      <c r="I21" s="2211">
        <v>0.85</v>
      </c>
      <c r="J21" s="2467">
        <f t="shared" si="3"/>
        <v>0.42499999999999999</v>
      </c>
      <c r="M21" s="2431"/>
      <c r="N21" s="2063"/>
      <c r="O21" s="2063"/>
      <c r="P21" s="2063"/>
      <c r="Q21" s="2063"/>
      <c r="R21" s="2063"/>
      <c r="S21" s="2063"/>
      <c r="T21" s="2063"/>
      <c r="U21" s="2063"/>
      <c r="V21" s="2063"/>
      <c r="W21" s="2063"/>
      <c r="X21" s="2063"/>
      <c r="Y21" s="2063"/>
      <c r="Z21" s="2432"/>
      <c r="AA21" s="2433"/>
      <c r="AB21" s="2063"/>
      <c r="AC21" s="2448" t="str">
        <f t="shared" si="7"/>
        <v>Metais ferrosos</v>
      </c>
      <c r="AD21" s="2449">
        <f t="shared" ref="AD21:AK21" si="14">+AD10*$S$6/1000</f>
        <v>42.982399999999998</v>
      </c>
      <c r="AE21" s="2449">
        <f t="shared" si="14"/>
        <v>204.16639999999998</v>
      </c>
      <c r="AF21" s="2449">
        <f t="shared" si="14"/>
        <v>204.16639999999998</v>
      </c>
      <c r="AG21" s="2449">
        <f t="shared" si="14"/>
        <v>204.16639999999998</v>
      </c>
      <c r="AH21" s="2449">
        <f t="shared" si="14"/>
        <v>204.16639999999998</v>
      </c>
      <c r="AI21" s="2449">
        <f t="shared" si="14"/>
        <v>204.16639999999998</v>
      </c>
      <c r="AJ21" s="2449">
        <f t="shared" si="14"/>
        <v>204.16639999999998</v>
      </c>
      <c r="AK21" s="2449">
        <f t="shared" si="14"/>
        <v>204.16639999999998</v>
      </c>
    </row>
    <row r="22" spans="1:37" ht="18" customHeight="1" x14ac:dyDescent="0.2">
      <c r="A22" s="2063"/>
      <c r="B22" s="2448" t="s">
        <v>1117</v>
      </c>
      <c r="C22" s="2465">
        <v>0</v>
      </c>
      <c r="D22" s="2466">
        <v>0</v>
      </c>
      <c r="E22" s="2062" t="s">
        <v>1304</v>
      </c>
      <c r="F22" s="2062"/>
      <c r="G22" s="2062"/>
      <c r="H22" s="2211">
        <v>0</v>
      </c>
      <c r="I22" s="2211">
        <v>1</v>
      </c>
      <c r="J22" s="2467">
        <f t="shared" si="3"/>
        <v>0</v>
      </c>
      <c r="M22" s="2431"/>
      <c r="N22" s="1987" t="s">
        <v>225</v>
      </c>
      <c r="O22" s="1988"/>
      <c r="P22" s="2197"/>
      <c r="Q22" s="2063"/>
      <c r="R22" s="2063"/>
      <c r="S22" s="2063"/>
      <c r="T22" s="2063"/>
      <c r="U22" s="2063"/>
      <c r="V22" s="2063"/>
      <c r="W22" s="2063"/>
      <c r="X22" s="2063"/>
      <c r="Y22" s="2063"/>
      <c r="Z22" s="2432"/>
      <c r="AA22" s="2433"/>
      <c r="AB22" s="2063"/>
      <c r="AC22" s="2448" t="str">
        <f t="shared" si="7"/>
        <v>Alumínio</v>
      </c>
      <c r="AD22" s="2449">
        <f t="shared" ref="AD22:AK22" si="15">+AD11*$T$6/1000</f>
        <v>122.1144</v>
      </c>
      <c r="AE22" s="2449">
        <f t="shared" si="15"/>
        <v>580.04339999999991</v>
      </c>
      <c r="AF22" s="2449">
        <f t="shared" si="15"/>
        <v>580.04339999999991</v>
      </c>
      <c r="AG22" s="2449">
        <f t="shared" si="15"/>
        <v>580.04339999999991</v>
      </c>
      <c r="AH22" s="2449">
        <f t="shared" si="15"/>
        <v>580.04339999999991</v>
      </c>
      <c r="AI22" s="2449">
        <f t="shared" si="15"/>
        <v>580.04339999999991</v>
      </c>
      <c r="AJ22" s="2449">
        <f t="shared" si="15"/>
        <v>580.04339999999991</v>
      </c>
      <c r="AK22" s="2449">
        <f t="shared" si="15"/>
        <v>580.04339999999991</v>
      </c>
    </row>
    <row r="23" spans="1:37" ht="18" customHeight="1" x14ac:dyDescent="0.2">
      <c r="A23" s="2063"/>
      <c r="B23" s="2448" t="s">
        <v>1118</v>
      </c>
      <c r="C23" s="2465">
        <v>2.7E-2</v>
      </c>
      <c r="D23" s="2466">
        <v>1</v>
      </c>
      <c r="E23" s="2062" t="s">
        <v>1304</v>
      </c>
      <c r="F23" s="2062"/>
      <c r="G23" s="2062"/>
      <c r="H23" s="2211">
        <v>0.03</v>
      </c>
      <c r="I23" s="2211">
        <v>0.9</v>
      </c>
      <c r="J23" s="2467">
        <f t="shared" si="3"/>
        <v>2.7E-2</v>
      </c>
      <c r="M23" s="2431"/>
      <c r="N23" s="2463" t="s">
        <v>1323</v>
      </c>
      <c r="O23" s="2478"/>
      <c r="P23" s="2479"/>
      <c r="Q23" s="2063"/>
      <c r="R23" s="2063"/>
      <c r="S23" s="2063"/>
      <c r="T23" s="2063"/>
      <c r="U23" s="2063"/>
      <c r="V23" s="2063"/>
      <c r="W23" s="2063"/>
      <c r="X23" s="2063"/>
      <c r="Y23" s="2063"/>
      <c r="Z23" s="2432"/>
      <c r="AA23" s="2433"/>
      <c r="AB23" s="2063"/>
      <c r="AC23" s="2448" t="str">
        <f t="shared" si="7"/>
        <v>Têxteis</v>
      </c>
      <c r="AD23" s="2449">
        <f t="shared" ref="AD23:AK23" si="16">+AD12*$V$6/1000</f>
        <v>0</v>
      </c>
      <c r="AE23" s="2449">
        <f t="shared" si="16"/>
        <v>0</v>
      </c>
      <c r="AF23" s="2449">
        <f t="shared" si="16"/>
        <v>0</v>
      </c>
      <c r="AG23" s="2449">
        <f t="shared" si="16"/>
        <v>0</v>
      </c>
      <c r="AH23" s="2449">
        <f t="shared" si="16"/>
        <v>0</v>
      </c>
      <c r="AI23" s="2449">
        <f t="shared" si="16"/>
        <v>0</v>
      </c>
      <c r="AJ23" s="2449">
        <f t="shared" si="16"/>
        <v>0</v>
      </c>
      <c r="AK23" s="2449">
        <f t="shared" si="16"/>
        <v>0</v>
      </c>
    </row>
    <row r="24" spans="1:37" ht="18" customHeight="1" x14ac:dyDescent="0.2">
      <c r="A24" s="2063"/>
      <c r="B24" s="2063"/>
      <c r="C24" s="2063"/>
      <c r="D24" s="2063"/>
      <c r="E24" s="2063"/>
      <c r="F24" s="2063"/>
      <c r="G24" s="2063"/>
      <c r="H24" s="2063"/>
      <c r="I24" s="2063"/>
      <c r="J24" s="2063"/>
      <c r="K24" s="2063"/>
      <c r="L24" s="2063"/>
      <c r="M24" s="2431"/>
      <c r="N24" s="2463" t="s">
        <v>1324</v>
      </c>
      <c r="O24" s="2478"/>
      <c r="P24" s="2479"/>
      <c r="Q24" s="2465">
        <f t="shared" ref="Q24:X24" si="17">D121</f>
        <v>0.16485824100868129</v>
      </c>
      <c r="R24" s="2465">
        <f t="shared" si="17"/>
        <v>0.16349934683309475</v>
      </c>
      <c r="S24" s="2465">
        <f t="shared" si="17"/>
        <v>0.16349934683309475</v>
      </c>
      <c r="T24" s="2465">
        <f t="shared" si="17"/>
        <v>0.16349934683309475</v>
      </c>
      <c r="U24" s="2465">
        <f t="shared" si="17"/>
        <v>0.16349934683309475</v>
      </c>
      <c r="V24" s="2465">
        <f t="shared" si="17"/>
        <v>0.16349934683309475</v>
      </c>
      <c r="W24" s="2465">
        <f t="shared" si="17"/>
        <v>0.16349934683309475</v>
      </c>
      <c r="X24" s="2465">
        <f t="shared" si="17"/>
        <v>0.16349934683309475</v>
      </c>
      <c r="Y24" s="2062" t="s">
        <v>1304</v>
      </c>
      <c r="Z24" s="2432" t="s">
        <v>1325</v>
      </c>
      <c r="AA24" s="2433"/>
      <c r="AB24" s="2063"/>
      <c r="AC24" s="1977" t="s">
        <v>1252</v>
      </c>
      <c r="AD24" s="2471" t="s">
        <v>1315</v>
      </c>
      <c r="AE24" s="2062"/>
      <c r="AF24" s="2062"/>
      <c r="AG24" s="2062"/>
      <c r="AH24" s="2062"/>
      <c r="AI24" s="2062"/>
      <c r="AJ24" s="2062"/>
      <c r="AK24" s="2062"/>
    </row>
    <row r="25" spans="1:37" ht="18" customHeight="1" x14ac:dyDescent="0.2">
      <c r="A25" s="2427" t="s">
        <v>1326</v>
      </c>
      <c r="B25" s="2428"/>
      <c r="C25" s="2428"/>
      <c r="D25" s="2428"/>
      <c r="E25" s="2428"/>
      <c r="F25" s="2428"/>
      <c r="G25" s="2428"/>
      <c r="H25" s="2428"/>
      <c r="I25" s="2428"/>
      <c r="J25" s="2428"/>
      <c r="K25" s="2428"/>
      <c r="L25" s="2428"/>
      <c r="M25" s="2431"/>
      <c r="N25" s="2463" t="s">
        <v>1327</v>
      </c>
      <c r="O25" s="2478"/>
      <c r="P25" s="2479"/>
      <c r="Q25" s="2466">
        <v>0.5</v>
      </c>
      <c r="R25" s="2466">
        <v>0.5</v>
      </c>
      <c r="S25" s="2466">
        <v>0.5</v>
      </c>
      <c r="T25" s="2466">
        <v>0.5</v>
      </c>
      <c r="U25" s="2466">
        <v>0.5</v>
      </c>
      <c r="V25" s="2466">
        <v>0.5</v>
      </c>
      <c r="W25" s="2466">
        <v>0.5</v>
      </c>
      <c r="X25" s="2466">
        <v>0.5</v>
      </c>
      <c r="Y25" s="2062" t="s">
        <v>1328</v>
      </c>
      <c r="Z25" s="2432"/>
      <c r="AA25" s="2433"/>
      <c r="AB25" s="2063"/>
      <c r="AC25" s="2480" t="str">
        <f t="shared" ref="AC25:AC32" si="18">+$AC5</f>
        <v>Resíduos de alimentos</v>
      </c>
      <c r="AD25" s="2449">
        <f>+AD5*((1-'CO2 - Reciclagem'!$E$31)*$P$7+'CO2 - Reciclagem'!$E$31*($R$13*$C$3*'CO2 - Reciclagem'!$E$34/1000+$R$14*$C$6*'CO2 - Reciclagem'!$E$35/1000+$O$7))/1000*(-1)</f>
        <v>0</v>
      </c>
      <c r="AE25" s="2449">
        <f>+AE5*((1-'CO2 - Reciclagem'!$G$31)*$P$7+'CO2 - Reciclagem'!$G$31*($R$13*$C$3*'CO2 - Reciclagem'!$G$34/1000+$R$14*$C$6*'CO2 - Reciclagem'!$G$35/1000+$O$7))/1000*(-1)</f>
        <v>0</v>
      </c>
      <c r="AF25" s="2449">
        <f>+AF5*((1-'CO2 - Reciclagem'!$H$31)*$P$7+'CO2 - Reciclagem'!$H$31*($R$13*$C$3*'CO2 - Reciclagem'!$H$34/1000+$R$14*$C$6*'CO2 - Reciclagem'!$H$35/1000+$O$7))/1000*(-1)</f>
        <v>0</v>
      </c>
      <c r="AG25" s="2449">
        <f>+AG5*((1-'CO2 - Reciclagem'!$I$31)*$P$7+'CO2 - Reciclagem'!$I$31*($R$13*$C$3*'CO2 - Reciclagem'!$I$34/1000+$R$14*$C$6*'CO2 - Reciclagem'!$I$35/1000+$O$7))/1000*(-1)</f>
        <v>0</v>
      </c>
      <c r="AH25" s="2449">
        <f>+AH5*((1-'CO2 - Reciclagem'!$J$31)*$P$7+'CO2 - Reciclagem'!$J$31*($R$13*$C$3*'CO2 - Reciclagem'!$J$34/1000+$R$14*$C$6*'CO2 - Reciclagem'!$J$35/1000+$O$7))/1000*(-1)</f>
        <v>0</v>
      </c>
      <c r="AI25" s="2449">
        <f>+AI5*((1-'CO2 - Reciclagem'!$K$31)*$P$7+'CO2 - Reciclagem'!$K$31*($R$13*$C$3*'CO2 - Reciclagem'!$K$34/1000+$R$14*$C$6*'CO2 - Reciclagem'!$K$35/1000+$O$7))/1000*(-1)</f>
        <v>0</v>
      </c>
      <c r="AJ25" s="2449">
        <f>+AJ5*((1-'CO2 - Reciclagem'!$L$31)*$P$7+'CO2 - Reciclagem'!$L$31*($R$13*$C$3*'CO2 - Reciclagem'!$L$34/1000+$R$14*$C$6*'CO2 - Reciclagem'!$L$35/1000+$O$7))/1000*(-1)</f>
        <v>0</v>
      </c>
      <c r="AK25" s="2449">
        <f>+AK5*((1-'CO2 - Reciclagem'!$M$31)*$P$7+'CO2 - Reciclagem'!$M$31*($R$13*$C$3*'CO2 - Reciclagem'!$M$34/1000+$R$14*$C$6*'CO2 - Reciclagem'!$M$35/1000+$O$7))/1000*(-1)</f>
        <v>0</v>
      </c>
    </row>
    <row r="26" spans="1:37" ht="18" customHeight="1" x14ac:dyDescent="0.2">
      <c r="A26" s="2063"/>
      <c r="B26" s="2063"/>
      <c r="C26" s="2063"/>
      <c r="D26" s="2063"/>
      <c r="E26" s="2063"/>
      <c r="F26" s="2063"/>
      <c r="G26" s="2063"/>
      <c r="H26" s="2063"/>
      <c r="I26" s="2063"/>
      <c r="J26" s="2063"/>
      <c r="K26" s="2063"/>
      <c r="L26" s="2063"/>
      <c r="M26" s="2431"/>
      <c r="N26" s="2463" t="s">
        <v>1329</v>
      </c>
      <c r="O26" s="2478"/>
      <c r="P26" s="2479"/>
      <c r="Q26" s="2466">
        <v>0.55000000000000004</v>
      </c>
      <c r="R26" s="2466">
        <v>0.55000000000000004</v>
      </c>
      <c r="S26" s="2466">
        <v>0.55000000000000004</v>
      </c>
      <c r="T26" s="2466">
        <v>0.55000000000000004</v>
      </c>
      <c r="U26" s="2466">
        <v>0.55000000000000004</v>
      </c>
      <c r="V26" s="2466">
        <v>0.55000000000000004</v>
      </c>
      <c r="W26" s="2466">
        <v>0.55000000000000004</v>
      </c>
      <c r="X26" s="2466">
        <v>0.55000000000000004</v>
      </c>
      <c r="Y26" s="2062" t="s">
        <v>1309</v>
      </c>
      <c r="Z26" s="2432"/>
      <c r="AA26" s="2433"/>
      <c r="AB26" s="2063"/>
      <c r="AC26" s="2480" t="str">
        <f t="shared" si="18"/>
        <v>Resíduos de jardins e parques</v>
      </c>
      <c r="AD26" s="2449">
        <f>+AD6*((1-'CO2 - Reciclagem'!$E$31)*$P$7+'CO2 - Reciclagem'!$E$31*($R$13*$C$3*'CO2 - Reciclagem'!$E$34/1000+$R$14*$C$6*'CO2 - Reciclagem'!$E$35/1000+$O$7))/1000*(-1)</f>
        <v>0</v>
      </c>
      <c r="AE26" s="2449">
        <f>+AE6*((1-'CO2 - Reciclagem'!$G$31)*$P$7+'CO2 - Reciclagem'!$G$31*($R$13*$C$3*'CO2 - Reciclagem'!$G$34/1000+$R$14*$C$6*'CO2 - Reciclagem'!$G$35/1000+$O$7))/1000*(-1)</f>
        <v>0</v>
      </c>
      <c r="AF26" s="2449">
        <f>+AF6*((1-'CO2 - Reciclagem'!$H$31)*$P$7+'CO2 - Reciclagem'!$H$31*($R$13*$C$3*'CO2 - Reciclagem'!$H$34/1000+$R$14*$C$6*'CO2 - Reciclagem'!$H$35/1000+$O$7))/1000*(-1)</f>
        <v>0</v>
      </c>
      <c r="AG26" s="2449">
        <f>+AG6*((1-'CO2 - Reciclagem'!$I$31)*$P$7+'CO2 - Reciclagem'!$I$31*($R$13*$C$3*'CO2 - Reciclagem'!$I$34/1000+$R$14*$C$6*'CO2 - Reciclagem'!$I$35/1000+$O$7))/1000*(-1)</f>
        <v>0</v>
      </c>
      <c r="AH26" s="2449">
        <f>+AH6*((1-'CO2 - Reciclagem'!$J$31)*$P$7+'CO2 - Reciclagem'!$J$31*($R$13*$C$3*'CO2 - Reciclagem'!$J$34/1000+$R$14*$C$6*'CO2 - Reciclagem'!$J$35/1000+$O$7))/1000*(-1)</f>
        <v>0</v>
      </c>
      <c r="AI26" s="2449">
        <f>+AI6*((1-'CO2 - Reciclagem'!$K$31)*$P$7+'CO2 - Reciclagem'!$K$31*($R$13*$C$3*'CO2 - Reciclagem'!$K$34/1000+$R$14*$C$6*'CO2 - Reciclagem'!$K$35/1000+$O$7))/1000*(-1)</f>
        <v>0</v>
      </c>
      <c r="AJ26" s="2449">
        <f>+AJ6*((1-'CO2 - Reciclagem'!$L$31)*$P$7+'CO2 - Reciclagem'!$L$31*($R$13*$C$3*'CO2 - Reciclagem'!$L$34/1000+$R$14*$C$6*'CO2 - Reciclagem'!$L$35/1000+$O$7))/1000*(-1)</f>
        <v>0</v>
      </c>
      <c r="AK26" s="2449">
        <f>+AK6*((1-'CO2 - Reciclagem'!$M$31)*$P$7+'CO2 - Reciclagem'!$M$31*($R$13*$C$3*'CO2 - Reciclagem'!$M$34/1000+$R$14*$C$6*'CO2 - Reciclagem'!$M$35/1000+$O$7))/1000*(-1)</f>
        <v>0</v>
      </c>
    </row>
    <row r="27" spans="1:37" ht="18" customHeight="1" x14ac:dyDescent="0.2">
      <c r="A27" s="2063"/>
      <c r="B27" s="2481"/>
      <c r="C27" s="2062" t="s">
        <v>1330</v>
      </c>
      <c r="D27" s="2063"/>
      <c r="E27" s="2063"/>
      <c r="F27" s="2063"/>
      <c r="G27" s="2063"/>
      <c r="H27" s="2063"/>
      <c r="I27" s="2063"/>
      <c r="J27" s="2063"/>
      <c r="K27" s="2063"/>
      <c r="L27" s="2062" t="s">
        <v>1283</v>
      </c>
      <c r="M27" s="2431"/>
      <c r="N27" s="2463" t="s">
        <v>1331</v>
      </c>
      <c r="O27" s="2478"/>
      <c r="P27" s="2479"/>
      <c r="Q27" s="2482">
        <f t="shared" ref="Q27:X27" si="19">+Q24*$Q$25*1868</f>
        <v>153.97759710210832</v>
      </c>
      <c r="R27" s="2482">
        <f t="shared" si="19"/>
        <v>152.7083899421105</v>
      </c>
      <c r="S27" s="2482">
        <f t="shared" si="19"/>
        <v>152.7083899421105</v>
      </c>
      <c r="T27" s="2482">
        <f t="shared" si="19"/>
        <v>152.7083899421105</v>
      </c>
      <c r="U27" s="2482">
        <f t="shared" si="19"/>
        <v>152.7083899421105</v>
      </c>
      <c r="V27" s="2482">
        <f t="shared" si="19"/>
        <v>152.7083899421105</v>
      </c>
      <c r="W27" s="2482">
        <f t="shared" si="19"/>
        <v>152.7083899421105</v>
      </c>
      <c r="X27" s="2482">
        <f t="shared" si="19"/>
        <v>152.7083899421105</v>
      </c>
      <c r="Y27" s="2062" t="s">
        <v>1332</v>
      </c>
      <c r="Z27" s="2432"/>
      <c r="AA27" s="2433"/>
      <c r="AB27" s="2063"/>
      <c r="AC27" s="2480" t="str">
        <f t="shared" si="18"/>
        <v>Papel, papelão</v>
      </c>
      <c r="AD27" s="2449">
        <f t="shared" ref="AD27:AK27" si="20">+AD7*$Q$7*(-1)/1000</f>
        <v>-2960.7048000000004</v>
      </c>
      <c r="AE27" s="2449">
        <f t="shared" si="20"/>
        <v>-9859.1469840000009</v>
      </c>
      <c r="AF27" s="2449">
        <f t="shared" si="20"/>
        <v>-9859.1469840000009</v>
      </c>
      <c r="AG27" s="2449">
        <f t="shared" si="20"/>
        <v>-9859.1469840000009</v>
      </c>
      <c r="AH27" s="2449">
        <f t="shared" si="20"/>
        <v>-9859.1469840000009</v>
      </c>
      <c r="AI27" s="2449">
        <f t="shared" si="20"/>
        <v>-9859.1469840000009</v>
      </c>
      <c r="AJ27" s="2449">
        <f t="shared" si="20"/>
        <v>-9859.1469840000009</v>
      </c>
      <c r="AK27" s="2449">
        <f t="shared" si="20"/>
        <v>-9859.1469840000009</v>
      </c>
    </row>
    <row r="28" spans="1:37" ht="18" customHeight="1" x14ac:dyDescent="0.2">
      <c r="A28" s="2063"/>
      <c r="B28" s="1977" t="s">
        <v>1301</v>
      </c>
      <c r="C28" s="2077" t="s">
        <v>1333</v>
      </c>
      <c r="D28" s="2063"/>
      <c r="E28" s="2063"/>
      <c r="F28" s="2063"/>
      <c r="G28" s="2063"/>
      <c r="H28" s="2063"/>
      <c r="I28" s="2063"/>
      <c r="J28" s="2063"/>
      <c r="K28" s="2063"/>
      <c r="L28" s="2063"/>
      <c r="M28" s="2431"/>
      <c r="N28" s="1987" t="s">
        <v>1334</v>
      </c>
      <c r="O28" s="2483"/>
      <c r="P28" s="2197"/>
      <c r="Q28" s="2484"/>
      <c r="R28" s="2063"/>
      <c r="S28" s="2063"/>
      <c r="T28" s="2063"/>
      <c r="U28" s="2063"/>
      <c r="V28" s="2063"/>
      <c r="W28" s="2063"/>
      <c r="X28" s="2063"/>
      <c r="Y28" s="2063"/>
      <c r="Z28" s="2432"/>
      <c r="AA28" s="2433"/>
      <c r="AB28" s="2063"/>
      <c r="AC28" s="2480" t="str">
        <f t="shared" si="18"/>
        <v>Plásticos</v>
      </c>
      <c r="AD28" s="2449">
        <f t="shared" ref="AD28:AK28" si="21">+AD8*$U$7/1000*(-1)</f>
        <v>-3764.2157999999999</v>
      </c>
      <c r="AE28" s="2449">
        <f t="shared" si="21"/>
        <v>-8281.2747600000002</v>
      </c>
      <c r="AF28" s="2449">
        <f t="shared" si="21"/>
        <v>-8281.2747600000002</v>
      </c>
      <c r="AG28" s="2449">
        <f t="shared" si="21"/>
        <v>-8281.2747600000002</v>
      </c>
      <c r="AH28" s="2449">
        <f t="shared" si="21"/>
        <v>-8281.2747600000002</v>
      </c>
      <c r="AI28" s="2449">
        <f t="shared" si="21"/>
        <v>-8281.2747600000002</v>
      </c>
      <c r="AJ28" s="2449">
        <f t="shared" si="21"/>
        <v>-8281.2747600000002</v>
      </c>
      <c r="AK28" s="2449">
        <f t="shared" si="21"/>
        <v>-8281.2747600000002</v>
      </c>
    </row>
    <row r="29" spans="1:37" ht="18" customHeight="1" x14ac:dyDescent="0.2">
      <c r="A29" s="2063"/>
      <c r="B29" s="2448" t="s">
        <v>1335</v>
      </c>
      <c r="C29" s="2446">
        <v>4</v>
      </c>
      <c r="D29" s="2062" t="s">
        <v>1336</v>
      </c>
      <c r="E29" s="2063"/>
      <c r="F29" s="2063"/>
      <c r="G29" s="2063"/>
      <c r="H29" s="2063"/>
      <c r="I29" s="2063"/>
      <c r="J29" s="2063"/>
      <c r="K29" s="2063"/>
      <c r="L29" s="2063"/>
      <c r="M29" s="2431"/>
      <c r="N29" s="2473" t="s">
        <v>1337</v>
      </c>
      <c r="O29" s="2485"/>
      <c r="P29" s="2486"/>
      <c r="Q29" s="2482">
        <f t="shared" ref="Q29:X29" si="22">+Q27</f>
        <v>153.97759710210832</v>
      </c>
      <c r="R29" s="2482">
        <f t="shared" si="22"/>
        <v>152.7083899421105</v>
      </c>
      <c r="S29" s="2482">
        <f t="shared" si="22"/>
        <v>152.7083899421105</v>
      </c>
      <c r="T29" s="2482">
        <f t="shared" si="22"/>
        <v>152.7083899421105</v>
      </c>
      <c r="U29" s="2482">
        <f t="shared" si="22"/>
        <v>152.7083899421105</v>
      </c>
      <c r="V29" s="2482">
        <f t="shared" si="22"/>
        <v>152.7083899421105</v>
      </c>
      <c r="W29" s="2482">
        <f t="shared" si="22"/>
        <v>152.7083899421105</v>
      </c>
      <c r="X29" s="2482">
        <f t="shared" si="22"/>
        <v>152.7083899421105</v>
      </c>
      <c r="Y29" s="2062" t="s">
        <v>1332</v>
      </c>
      <c r="Z29" s="2432"/>
      <c r="AA29" s="2433"/>
      <c r="AB29" s="2063"/>
      <c r="AC29" s="2480" t="str">
        <f t="shared" si="18"/>
        <v>Vidros</v>
      </c>
      <c r="AD29" s="2449">
        <f t="shared" ref="AD29:AK29" si="23">+AD9*$R$7/1000*(-1)</f>
        <v>0</v>
      </c>
      <c r="AE29" s="2449">
        <f t="shared" si="23"/>
        <v>0</v>
      </c>
      <c r="AF29" s="2449">
        <f t="shared" si="23"/>
        <v>0</v>
      </c>
      <c r="AG29" s="2449">
        <f t="shared" si="23"/>
        <v>0</v>
      </c>
      <c r="AH29" s="2449">
        <f t="shared" si="23"/>
        <v>0</v>
      </c>
      <c r="AI29" s="2449">
        <f t="shared" si="23"/>
        <v>0</v>
      </c>
      <c r="AJ29" s="2449">
        <f t="shared" si="23"/>
        <v>0</v>
      </c>
      <c r="AK29" s="2449">
        <f t="shared" si="23"/>
        <v>0</v>
      </c>
    </row>
    <row r="30" spans="1:37" ht="18" customHeight="1" x14ac:dyDescent="0.2">
      <c r="A30" s="2063"/>
      <c r="B30" s="2448" t="s">
        <v>1338</v>
      </c>
      <c r="C30" s="2446">
        <v>2</v>
      </c>
      <c r="D30" s="2062" t="s">
        <v>1336</v>
      </c>
      <c r="E30" s="2063"/>
      <c r="F30" s="2063"/>
      <c r="G30" s="2063"/>
      <c r="H30" s="2063"/>
      <c r="I30" s="2063"/>
      <c r="J30" s="2063"/>
      <c r="K30" s="2063"/>
      <c r="L30" s="2063"/>
      <c r="M30" s="2431"/>
      <c r="N30" s="2463" t="s">
        <v>1339</v>
      </c>
      <c r="O30" s="2478"/>
      <c r="P30" s="2479"/>
      <c r="Q30" s="2477">
        <f t="shared" ref="Q30:X30" si="24">+Q29*$Q$26*16/22.4*28</f>
        <v>1693.7535681231916</v>
      </c>
      <c r="R30" s="2477">
        <f t="shared" si="24"/>
        <v>1679.7922893632156</v>
      </c>
      <c r="S30" s="2477">
        <f t="shared" si="24"/>
        <v>1679.7922893632156</v>
      </c>
      <c r="T30" s="2477">
        <f t="shared" si="24"/>
        <v>1679.7922893632156</v>
      </c>
      <c r="U30" s="2477">
        <f t="shared" si="24"/>
        <v>1679.7922893632156</v>
      </c>
      <c r="V30" s="2477">
        <f t="shared" si="24"/>
        <v>1679.7922893632156</v>
      </c>
      <c r="W30" s="2477">
        <f t="shared" si="24"/>
        <v>1679.7922893632156</v>
      </c>
      <c r="X30" s="2477">
        <f t="shared" si="24"/>
        <v>1679.7922893632156</v>
      </c>
      <c r="Y30" s="2471" t="s">
        <v>1322</v>
      </c>
      <c r="Z30" s="2432"/>
      <c r="AA30" s="2433"/>
      <c r="AB30" s="2063"/>
      <c r="AC30" s="2480" t="str">
        <f t="shared" si="18"/>
        <v>Metais ferrosos</v>
      </c>
      <c r="AD30" s="2449">
        <f t="shared" ref="AD30:AK30" si="25">+AD10*$S$7/1000*(-1)</f>
        <v>-1149.7791999999999</v>
      </c>
      <c r="AE30" s="2449">
        <f t="shared" si="25"/>
        <v>-5461.4512000000004</v>
      </c>
      <c r="AF30" s="2449">
        <f t="shared" si="25"/>
        <v>-5461.4512000000004</v>
      </c>
      <c r="AG30" s="2449">
        <f t="shared" si="25"/>
        <v>-5461.4512000000004</v>
      </c>
      <c r="AH30" s="2449">
        <f t="shared" si="25"/>
        <v>-5461.4512000000004</v>
      </c>
      <c r="AI30" s="2449">
        <f t="shared" si="25"/>
        <v>-5461.4512000000004</v>
      </c>
      <c r="AJ30" s="2449">
        <f t="shared" si="25"/>
        <v>-5461.4512000000004</v>
      </c>
      <c r="AK30" s="2449">
        <f t="shared" si="25"/>
        <v>-5461.4512000000004</v>
      </c>
    </row>
    <row r="31" spans="1:37" ht="18" customHeight="1" x14ac:dyDescent="0.2">
      <c r="A31" s="2063"/>
      <c r="B31" s="2448" t="s">
        <v>1285</v>
      </c>
      <c r="C31" s="2446">
        <v>11.5</v>
      </c>
      <c r="D31" s="2062" t="s">
        <v>1336</v>
      </c>
      <c r="E31" s="2063"/>
      <c r="F31" s="2063"/>
      <c r="G31" s="2063"/>
      <c r="H31" s="2063"/>
      <c r="I31" s="2063"/>
      <c r="J31" s="2063"/>
      <c r="K31" s="2063"/>
      <c r="L31" s="2063"/>
      <c r="M31" s="2431"/>
      <c r="N31" s="1987" t="s">
        <v>1340</v>
      </c>
      <c r="O31" s="1988"/>
      <c r="P31" s="2197"/>
      <c r="Q31" s="2484"/>
      <c r="R31" s="2063"/>
      <c r="S31" s="2063"/>
      <c r="T31" s="2063"/>
      <c r="U31" s="2063"/>
      <c r="V31" s="2063"/>
      <c r="W31" s="2063"/>
      <c r="X31" s="2063"/>
      <c r="Y31" s="2063"/>
      <c r="Z31" s="2432"/>
      <c r="AA31" s="2433"/>
      <c r="AB31" s="2063"/>
      <c r="AC31" s="2480" t="str">
        <f t="shared" si="18"/>
        <v>Alumínio</v>
      </c>
      <c r="AD31" s="2449">
        <f t="shared" ref="AD31:AK31" si="26">+AD11*$T$7/1000*(-1)</f>
        <v>-1730.9760000000003</v>
      </c>
      <c r="AE31" s="2449">
        <f t="shared" si="26"/>
        <v>-8222.1359999999986</v>
      </c>
      <c r="AF31" s="2449">
        <f t="shared" si="26"/>
        <v>-8222.1359999999986</v>
      </c>
      <c r="AG31" s="2449">
        <f t="shared" si="26"/>
        <v>-8222.1359999999986</v>
      </c>
      <c r="AH31" s="2449">
        <f t="shared" si="26"/>
        <v>-8222.1359999999986</v>
      </c>
      <c r="AI31" s="2449">
        <f t="shared" si="26"/>
        <v>-8222.1359999999986</v>
      </c>
      <c r="AJ31" s="2449">
        <f t="shared" si="26"/>
        <v>-8222.1359999999986</v>
      </c>
      <c r="AK31" s="2449">
        <f t="shared" si="26"/>
        <v>-8222.1359999999986</v>
      </c>
    </row>
    <row r="32" spans="1:37" ht="18" customHeight="1" x14ac:dyDescent="0.2">
      <c r="A32" s="2063"/>
      <c r="B32" s="2448" t="s">
        <v>1110</v>
      </c>
      <c r="C32" s="2446">
        <v>31.5</v>
      </c>
      <c r="D32" s="2062" t="s">
        <v>1336</v>
      </c>
      <c r="E32" s="2063"/>
      <c r="F32" s="2063"/>
      <c r="G32" s="2063"/>
      <c r="H32" s="2063"/>
      <c r="I32" s="2063"/>
      <c r="J32" s="2063"/>
      <c r="K32" s="2063"/>
      <c r="L32" s="2063"/>
      <c r="M32" s="2431"/>
      <c r="N32" s="2487" t="s">
        <v>1341</v>
      </c>
      <c r="O32" s="2464"/>
      <c r="P32" s="2472"/>
      <c r="Q32" s="2482">
        <f>+Q27*'CO2 - Destinação'!E28</f>
        <v>34.644959347974371</v>
      </c>
      <c r="R32" s="2482">
        <f>+R27*'CO2 - Destinação'!G28</f>
        <v>34.359387736974867</v>
      </c>
      <c r="S32" s="2482">
        <f>+S27*'CO2 - Destinação'!H28</f>
        <v>34.359387736974867</v>
      </c>
      <c r="T32" s="2482">
        <f>+T27*'CO2 - Destinação'!I28</f>
        <v>34.359387736974867</v>
      </c>
      <c r="U32" s="2482">
        <f>+U27*'CO2 - Destinação'!J28</f>
        <v>34.359387736974867</v>
      </c>
      <c r="V32" s="2482">
        <f>+V27*'CO2 - Destinação'!K28</f>
        <v>34.359387736974867</v>
      </c>
      <c r="W32" s="2482">
        <f>+W27*'CO2 - Destinação'!L28</f>
        <v>34.359387736974867</v>
      </c>
      <c r="X32" s="2482">
        <f>+X27*'CO2 - Destinação'!M28</f>
        <v>34.359387736974867</v>
      </c>
      <c r="Y32" s="2488" t="s">
        <v>1332</v>
      </c>
      <c r="Z32" s="2432"/>
      <c r="AA32" s="2433"/>
      <c r="AB32" s="2063"/>
      <c r="AC32" s="2480" t="str">
        <f t="shared" si="18"/>
        <v>Têxteis</v>
      </c>
      <c r="AD32" s="2449">
        <f t="shared" ref="AD32:AK32" si="27">+AD12*$V$7/1000*(-1)</f>
        <v>0</v>
      </c>
      <c r="AE32" s="2449">
        <f t="shared" si="27"/>
        <v>0</v>
      </c>
      <c r="AF32" s="2449">
        <f t="shared" si="27"/>
        <v>0</v>
      </c>
      <c r="AG32" s="2449">
        <f t="shared" si="27"/>
        <v>0</v>
      </c>
      <c r="AH32" s="2449">
        <f t="shared" si="27"/>
        <v>0</v>
      </c>
      <c r="AI32" s="2449">
        <f t="shared" si="27"/>
        <v>0</v>
      </c>
      <c r="AJ32" s="2449">
        <f t="shared" si="27"/>
        <v>0</v>
      </c>
      <c r="AK32" s="2449">
        <f t="shared" si="27"/>
        <v>0</v>
      </c>
    </row>
    <row r="33" spans="1:37" ht="18" customHeight="1" x14ac:dyDescent="0.2">
      <c r="A33" s="2063"/>
      <c r="B33" s="2448" t="s">
        <v>50</v>
      </c>
      <c r="C33" s="2446">
        <v>0</v>
      </c>
      <c r="D33" s="2062" t="s">
        <v>1336</v>
      </c>
      <c r="E33" s="2063"/>
      <c r="F33" s="2063"/>
      <c r="G33" s="2063"/>
      <c r="H33" s="2063"/>
      <c r="I33" s="2063"/>
      <c r="J33" s="2063"/>
      <c r="K33" s="2063"/>
      <c r="L33" s="2063"/>
      <c r="M33" s="2431"/>
      <c r="N33" s="2487" t="s">
        <v>1342</v>
      </c>
      <c r="O33" s="2464"/>
      <c r="P33" s="2472"/>
      <c r="Q33" s="2482">
        <f>+Q32*'CO2 - Destinação'!E32</f>
        <v>0</v>
      </c>
      <c r="R33" s="2482">
        <f>+R32*'CO2 - Destinação'!G32</f>
        <v>0</v>
      </c>
      <c r="S33" s="2482">
        <f>+S32*'CO2 - Destinação'!H32</f>
        <v>0</v>
      </c>
      <c r="T33" s="2482">
        <f>+T32*'CO2 - Destinação'!I32</f>
        <v>0</v>
      </c>
      <c r="U33" s="2482">
        <f>+U32*'CO2 - Destinação'!J32</f>
        <v>0</v>
      </c>
      <c r="V33" s="2482">
        <f>+V32*'CO2 - Destinação'!K32</f>
        <v>0</v>
      </c>
      <c r="W33" s="2482">
        <f>+W32*'CO2 - Destinação'!L32</f>
        <v>0</v>
      </c>
      <c r="X33" s="2482">
        <f>+X32*'CO2 - Destinação'!M32</f>
        <v>0</v>
      </c>
      <c r="Y33" s="2488" t="s">
        <v>1332</v>
      </c>
      <c r="Z33" s="2432"/>
      <c r="AA33" s="2433"/>
      <c r="AB33" s="2063"/>
      <c r="AC33" s="1977" t="s">
        <v>1253</v>
      </c>
      <c r="AD33" s="2471" t="s">
        <v>1315</v>
      </c>
      <c r="AE33" s="2062"/>
      <c r="AF33" s="2062"/>
      <c r="AG33" s="2062"/>
      <c r="AH33" s="2062"/>
      <c r="AI33" s="2062"/>
      <c r="AJ33" s="2062"/>
      <c r="AK33" s="2062"/>
    </row>
    <row r="34" spans="1:37" ht="18" customHeight="1" x14ac:dyDescent="0.2">
      <c r="A34" s="2063"/>
      <c r="B34" s="2448" t="s">
        <v>51</v>
      </c>
      <c r="C34" s="2446">
        <v>0</v>
      </c>
      <c r="D34" s="2062" t="s">
        <v>1336</v>
      </c>
      <c r="E34" s="2063"/>
      <c r="F34" s="2063"/>
      <c r="G34" s="2063"/>
      <c r="H34" s="2063"/>
      <c r="I34" s="2063"/>
      <c r="J34" s="2063"/>
      <c r="K34" s="2063"/>
      <c r="L34" s="2063"/>
      <c r="M34" s="2431"/>
      <c r="N34" s="2487" t="s">
        <v>1343</v>
      </c>
      <c r="O34" s="2464"/>
      <c r="P34" s="2472"/>
      <c r="Q34" s="2482">
        <f>+Q27*(1-'CO2 - Destinação'!E28)*$Q$26</f>
        <v>65.632950764773682</v>
      </c>
      <c r="R34" s="2482">
        <f>+R27*(1-'CO2 - Destinação'!G28)*$Q$26</f>
        <v>65.091951212824611</v>
      </c>
      <c r="S34" s="2482">
        <f>+S27*(1-'CO2 - Destinação'!H28)*$Q$26</f>
        <v>65.091951212824611</v>
      </c>
      <c r="T34" s="2482">
        <f>+T27*(1-'CO2 - Destinação'!I28)*$Q$26</f>
        <v>65.091951212824611</v>
      </c>
      <c r="U34" s="2482">
        <f>+U27*(1-'CO2 - Destinação'!J28)*$Q$26</f>
        <v>65.091951212824611</v>
      </c>
      <c r="V34" s="2482">
        <f>+V27*(1-'CO2 - Destinação'!K28)*$Q$26</f>
        <v>65.091951212824611</v>
      </c>
      <c r="W34" s="2482">
        <f>+W27*(1-'CO2 - Destinação'!L28)*$Q$26</f>
        <v>65.091951212824611</v>
      </c>
      <c r="X34" s="2482">
        <f>+X27*(1-'CO2 - Destinação'!M28)*$Q$26</f>
        <v>65.091951212824611</v>
      </c>
      <c r="Y34" s="2488" t="s">
        <v>1344</v>
      </c>
      <c r="Z34" s="2432"/>
      <c r="AA34" s="2433"/>
      <c r="AB34" s="2063"/>
      <c r="AC34" s="2480" t="str">
        <f t="shared" ref="AC34:AC41" si="28">+$AC5</f>
        <v>Resíduos de alimentos</v>
      </c>
      <c r="AD34" s="2449">
        <f t="shared" ref="AD34:AK41" si="29">+AD16+AD25</f>
        <v>0</v>
      </c>
      <c r="AE34" s="2449">
        <f t="shared" si="29"/>
        <v>0</v>
      </c>
      <c r="AF34" s="2449">
        <f t="shared" si="29"/>
        <v>0</v>
      </c>
      <c r="AG34" s="2449">
        <f t="shared" si="29"/>
        <v>0</v>
      </c>
      <c r="AH34" s="2449">
        <f t="shared" si="29"/>
        <v>0</v>
      </c>
      <c r="AI34" s="2449">
        <f t="shared" si="29"/>
        <v>0</v>
      </c>
      <c r="AJ34" s="2449">
        <f t="shared" si="29"/>
        <v>0</v>
      </c>
      <c r="AK34" s="2449">
        <f t="shared" si="29"/>
        <v>0</v>
      </c>
    </row>
    <row r="35" spans="1:37" ht="18" customHeight="1" x14ac:dyDescent="0.2">
      <c r="A35" s="2063"/>
      <c r="B35" s="2448" t="s">
        <v>1345</v>
      </c>
      <c r="C35" s="2446">
        <v>14.6</v>
      </c>
      <c r="D35" s="2062" t="s">
        <v>1336</v>
      </c>
      <c r="E35" s="2063"/>
      <c r="F35" s="2063"/>
      <c r="G35" s="2063"/>
      <c r="H35" s="2063"/>
      <c r="I35" s="2063"/>
      <c r="J35" s="2063"/>
      <c r="K35" s="2063"/>
      <c r="L35" s="2063"/>
      <c r="M35" s="2431"/>
      <c r="N35" s="2487" t="s">
        <v>1346</v>
      </c>
      <c r="O35" s="2464"/>
      <c r="P35" s="2472"/>
      <c r="Q35" s="2482">
        <f>+Q34*'CO2 - Destinação'!E40</f>
        <v>6.5632950764773685</v>
      </c>
      <c r="R35" s="2482">
        <f>+R34*'CO2 - Destinação'!G40</f>
        <v>6.5091951212824615</v>
      </c>
      <c r="S35" s="2482">
        <f>+S34*'CO2 - Destinação'!H40</f>
        <v>6.5091951212824615</v>
      </c>
      <c r="T35" s="2482">
        <f>+T34*'CO2 - Destinação'!I40</f>
        <v>6.5091951212824615</v>
      </c>
      <c r="U35" s="2482">
        <f>+U34*'CO2 - Destinação'!J40</f>
        <v>6.5091951212824615</v>
      </c>
      <c r="V35" s="2482">
        <f>+V34*'CO2 - Destinação'!K40</f>
        <v>6.5091951212824615</v>
      </c>
      <c r="W35" s="2482">
        <f>+W34*'CO2 - Destinação'!L40</f>
        <v>6.5091951212824615</v>
      </c>
      <c r="X35" s="2482">
        <f>+X34*'CO2 - Destinação'!M40</f>
        <v>6.5091951212824615</v>
      </c>
      <c r="Y35" s="2488" t="s">
        <v>1344</v>
      </c>
      <c r="Z35" s="2432"/>
      <c r="AA35" s="2433"/>
      <c r="AB35" s="2063"/>
      <c r="AC35" s="2480" t="str">
        <f t="shared" si="28"/>
        <v>Resíduos de jardins e parques</v>
      </c>
      <c r="AD35" s="2449">
        <f t="shared" si="29"/>
        <v>0</v>
      </c>
      <c r="AE35" s="2449">
        <f t="shared" si="29"/>
        <v>0</v>
      </c>
      <c r="AF35" s="2449">
        <f t="shared" si="29"/>
        <v>0</v>
      </c>
      <c r="AG35" s="2449">
        <f t="shared" si="29"/>
        <v>0</v>
      </c>
      <c r="AH35" s="2449">
        <f t="shared" si="29"/>
        <v>0</v>
      </c>
      <c r="AI35" s="2449">
        <f t="shared" si="29"/>
        <v>0</v>
      </c>
      <c r="AJ35" s="2449">
        <f t="shared" si="29"/>
        <v>0</v>
      </c>
      <c r="AK35" s="2449">
        <f t="shared" si="29"/>
        <v>0</v>
      </c>
    </row>
    <row r="36" spans="1:37" ht="18" customHeight="1" x14ac:dyDescent="0.2">
      <c r="A36" s="2063"/>
      <c r="B36" s="2448" t="s">
        <v>1116</v>
      </c>
      <c r="C36" s="2446">
        <v>15</v>
      </c>
      <c r="D36" s="2062" t="s">
        <v>1336</v>
      </c>
      <c r="E36" s="2063"/>
      <c r="F36" s="2063"/>
      <c r="G36" s="2063"/>
      <c r="H36" s="2063"/>
      <c r="I36" s="2063"/>
      <c r="J36" s="2063"/>
      <c r="K36" s="2063"/>
      <c r="L36" s="2063"/>
      <c r="M36" s="2431"/>
      <c r="N36" s="2487" t="s">
        <v>1347</v>
      </c>
      <c r="O36" s="2464"/>
      <c r="P36" s="2472"/>
      <c r="Q36" s="2482">
        <f>+(Q33*Q26+(Q34-Q35))*16/22.4</f>
        <v>42.192611205925942</v>
      </c>
      <c r="R36" s="2482">
        <f>+(R33*R26+(R34-R35))*16/22.4</f>
        <v>41.844825779672966</v>
      </c>
      <c r="S36" s="2482">
        <f>+(S33*S26+(S34-S35))*16/22.4</f>
        <v>41.844825779672966</v>
      </c>
      <c r="T36" s="2482">
        <f>+(T33*T26+(T34-T35))*16/22.4</f>
        <v>41.844825779672966</v>
      </c>
      <c r="U36" s="2482">
        <f t="shared" ref="U36:X36" si="30">+(U33*U26+(U34-U35))*16/22.4</f>
        <v>41.844825779672966</v>
      </c>
      <c r="V36" s="2482">
        <f t="shared" si="30"/>
        <v>41.844825779672966</v>
      </c>
      <c r="W36" s="2482">
        <f t="shared" si="30"/>
        <v>41.844825779672966</v>
      </c>
      <c r="X36" s="2482">
        <f t="shared" si="30"/>
        <v>41.844825779672966</v>
      </c>
      <c r="Y36" s="2488" t="s">
        <v>1348</v>
      </c>
      <c r="Z36" s="2432"/>
      <c r="AA36" s="2433"/>
      <c r="AB36" s="2063"/>
      <c r="AC36" s="2480" t="str">
        <f t="shared" si="28"/>
        <v>Papel, papelão</v>
      </c>
      <c r="AD36" s="2449">
        <f t="shared" si="29"/>
        <v>-558.47920000000022</v>
      </c>
      <c r="AE36" s="2449">
        <f t="shared" si="29"/>
        <v>-1859.7357360000005</v>
      </c>
      <c r="AF36" s="2449">
        <f t="shared" si="29"/>
        <v>-1859.7357360000005</v>
      </c>
      <c r="AG36" s="2449">
        <f t="shared" si="29"/>
        <v>-1859.7357360000005</v>
      </c>
      <c r="AH36" s="2449">
        <f t="shared" si="29"/>
        <v>-1859.7357360000005</v>
      </c>
      <c r="AI36" s="2449">
        <f t="shared" si="29"/>
        <v>-1859.7357360000005</v>
      </c>
      <c r="AJ36" s="2449">
        <f t="shared" si="29"/>
        <v>-1859.7357360000005</v>
      </c>
      <c r="AK36" s="2449">
        <f t="shared" si="29"/>
        <v>-1859.7357360000005</v>
      </c>
    </row>
    <row r="37" spans="1:37" ht="18" customHeight="1" x14ac:dyDescent="0.2">
      <c r="A37" s="2063"/>
      <c r="B37" s="2448" t="s">
        <v>1117</v>
      </c>
      <c r="C37" s="2446">
        <v>0</v>
      </c>
      <c r="D37" s="2062" t="s">
        <v>1336</v>
      </c>
      <c r="E37" s="2063"/>
      <c r="F37" s="2063"/>
      <c r="G37" s="2063"/>
      <c r="H37" s="2063"/>
      <c r="I37" s="2063"/>
      <c r="J37" s="2063"/>
      <c r="K37" s="2063"/>
      <c r="L37" s="2063"/>
      <c r="M37" s="2431"/>
      <c r="N37" s="2487" t="s">
        <v>1349</v>
      </c>
      <c r="O37" s="2464"/>
      <c r="P37" s="2472"/>
      <c r="Q37" s="2482">
        <f t="shared" ref="Q37:X37" si="31">Q36*28</f>
        <v>1181.3931137659265</v>
      </c>
      <c r="R37" s="2482">
        <f t="shared" si="31"/>
        <v>1171.655121830843</v>
      </c>
      <c r="S37" s="2482">
        <f t="shared" si="31"/>
        <v>1171.655121830843</v>
      </c>
      <c r="T37" s="2482">
        <f t="shared" si="31"/>
        <v>1171.655121830843</v>
      </c>
      <c r="U37" s="2482">
        <f t="shared" si="31"/>
        <v>1171.655121830843</v>
      </c>
      <c r="V37" s="2482">
        <f t="shared" si="31"/>
        <v>1171.655121830843</v>
      </c>
      <c r="W37" s="2482">
        <f t="shared" si="31"/>
        <v>1171.655121830843</v>
      </c>
      <c r="X37" s="2482">
        <f t="shared" si="31"/>
        <v>1171.655121830843</v>
      </c>
      <c r="Y37" s="2488" t="s">
        <v>1350</v>
      </c>
      <c r="Z37" s="2432"/>
      <c r="AA37" s="2433"/>
      <c r="AB37" s="2063"/>
      <c r="AC37" s="2480" t="str">
        <f t="shared" si="28"/>
        <v>Plásticos</v>
      </c>
      <c r="AD37" s="2449">
        <f t="shared" si="29"/>
        <v>-2956.1057999999998</v>
      </c>
      <c r="AE37" s="2449">
        <f t="shared" si="29"/>
        <v>-6503.4327599999997</v>
      </c>
      <c r="AF37" s="2449">
        <f t="shared" si="29"/>
        <v>-6503.4327599999997</v>
      </c>
      <c r="AG37" s="2449">
        <f t="shared" si="29"/>
        <v>-6503.4327599999997</v>
      </c>
      <c r="AH37" s="2449">
        <f t="shared" si="29"/>
        <v>-6503.4327599999997</v>
      </c>
      <c r="AI37" s="2449">
        <f t="shared" si="29"/>
        <v>-6503.4327599999997</v>
      </c>
      <c r="AJ37" s="2449">
        <f t="shared" si="29"/>
        <v>-6503.4327599999997</v>
      </c>
      <c r="AK37" s="2449">
        <f t="shared" si="29"/>
        <v>-6503.4327599999997</v>
      </c>
    </row>
    <row r="38" spans="1:37" ht="18" customHeight="1" x14ac:dyDescent="0.2">
      <c r="A38" s="2063"/>
      <c r="B38" s="2448" t="s">
        <v>1351</v>
      </c>
      <c r="C38" s="2446">
        <v>8.4</v>
      </c>
      <c r="D38" s="2062" t="s">
        <v>1336</v>
      </c>
      <c r="E38" s="2063"/>
      <c r="F38" s="2063"/>
      <c r="G38" s="2063"/>
      <c r="H38" s="2063"/>
      <c r="I38" s="2063"/>
      <c r="J38" s="2063"/>
      <c r="K38" s="2063"/>
      <c r="L38" s="2063"/>
      <c r="M38" s="2431"/>
      <c r="N38" s="2487" t="s">
        <v>1352</v>
      </c>
      <c r="O38" s="2464"/>
      <c r="P38" s="2472"/>
      <c r="Q38" s="2482">
        <f>+Q32*'CO2 - Destinação'!E33</f>
        <v>34.644959347974371</v>
      </c>
      <c r="R38" s="2482">
        <f>+R32*'CO2 - Destinação'!G33</f>
        <v>34.359387736974867</v>
      </c>
      <c r="S38" s="2482">
        <f>+S32*'CO2 - Destinação'!H33</f>
        <v>34.359387736974867</v>
      </c>
      <c r="T38" s="2482">
        <f>+T32*'CO2 - Destinação'!I33</f>
        <v>34.359387736974867</v>
      </c>
      <c r="U38" s="2482">
        <f>+U32*'CO2 - Destinação'!J33</f>
        <v>34.359387736974867</v>
      </c>
      <c r="V38" s="2482">
        <f>+V32*'CO2 - Destinação'!K33</f>
        <v>34.359387736974867</v>
      </c>
      <c r="W38" s="2482">
        <f>+W32*'CO2 - Destinação'!L33</f>
        <v>34.359387736974867</v>
      </c>
      <c r="X38" s="2482">
        <f>+X32*'CO2 - Destinação'!M33</f>
        <v>34.359387736974867</v>
      </c>
      <c r="Y38" s="2488" t="s">
        <v>1332</v>
      </c>
      <c r="Z38" s="2432"/>
      <c r="AA38" s="2433"/>
      <c r="AB38" s="2063"/>
      <c r="AC38" s="2480" t="str">
        <f t="shared" si="28"/>
        <v>Vidros</v>
      </c>
      <c r="AD38" s="2449">
        <f t="shared" si="29"/>
        <v>0</v>
      </c>
      <c r="AE38" s="2449">
        <f t="shared" si="29"/>
        <v>0</v>
      </c>
      <c r="AF38" s="2449">
        <f t="shared" si="29"/>
        <v>0</v>
      </c>
      <c r="AG38" s="2449">
        <f t="shared" si="29"/>
        <v>0</v>
      </c>
      <c r="AH38" s="2449">
        <f t="shared" si="29"/>
        <v>0</v>
      </c>
      <c r="AI38" s="2449">
        <f t="shared" si="29"/>
        <v>0</v>
      </c>
      <c r="AJ38" s="2449">
        <f t="shared" si="29"/>
        <v>0</v>
      </c>
      <c r="AK38" s="2449">
        <f t="shared" si="29"/>
        <v>0</v>
      </c>
    </row>
    <row r="39" spans="1:37" ht="18" customHeight="1" x14ac:dyDescent="0.2">
      <c r="A39" s="2063"/>
      <c r="B39" s="2448" t="s">
        <v>1353</v>
      </c>
      <c r="C39" s="2446">
        <v>5</v>
      </c>
      <c r="D39" s="2062" t="s">
        <v>1336</v>
      </c>
      <c r="E39" s="2063"/>
      <c r="F39" s="2063"/>
      <c r="G39" s="2063"/>
      <c r="H39" s="2063"/>
      <c r="I39" s="2063"/>
      <c r="J39" s="2063"/>
      <c r="K39" s="2063"/>
      <c r="L39" s="2063"/>
      <c r="M39" s="2431"/>
      <c r="N39" s="2487" t="s">
        <v>1354</v>
      </c>
      <c r="O39" s="2464"/>
      <c r="P39" s="2472"/>
      <c r="Q39" s="2482">
        <f>+Q32*'CO2 - Destinação'!E34</f>
        <v>0</v>
      </c>
      <c r="R39" s="2482">
        <f>+R32*'CO2 - Destinação'!G34</f>
        <v>0</v>
      </c>
      <c r="S39" s="2482">
        <f>+S32*'CO2 - Destinação'!H34</f>
        <v>0</v>
      </c>
      <c r="T39" s="2482">
        <f>+T32*'CO2 - Destinação'!I34</f>
        <v>0</v>
      </c>
      <c r="U39" s="2482">
        <f>+U32*'CO2 - Destinação'!J34</f>
        <v>0</v>
      </c>
      <c r="V39" s="2482">
        <f>+V32*'CO2 - Destinação'!K34</f>
        <v>0</v>
      </c>
      <c r="W39" s="2482">
        <f>+W32*'CO2 - Destinação'!L34</f>
        <v>0</v>
      </c>
      <c r="X39" s="2482">
        <f>+X32*'CO2 - Destinação'!M34</f>
        <v>0</v>
      </c>
      <c r="Y39" s="2488" t="s">
        <v>1332</v>
      </c>
      <c r="Z39" s="2432"/>
      <c r="AA39" s="2433"/>
      <c r="AB39" s="2063"/>
      <c r="AC39" s="2480" t="str">
        <f t="shared" si="28"/>
        <v>Metais ferrosos</v>
      </c>
      <c r="AD39" s="2449">
        <f t="shared" si="29"/>
        <v>-1106.7967999999998</v>
      </c>
      <c r="AE39" s="2449">
        <f t="shared" si="29"/>
        <v>-5257.2848000000004</v>
      </c>
      <c r="AF39" s="2449">
        <f t="shared" si="29"/>
        <v>-5257.2848000000004</v>
      </c>
      <c r="AG39" s="2449">
        <f t="shared" si="29"/>
        <v>-5257.2848000000004</v>
      </c>
      <c r="AH39" s="2449">
        <f t="shared" si="29"/>
        <v>-5257.2848000000004</v>
      </c>
      <c r="AI39" s="2449">
        <f t="shared" si="29"/>
        <v>-5257.2848000000004</v>
      </c>
      <c r="AJ39" s="2449">
        <f t="shared" si="29"/>
        <v>-5257.2848000000004</v>
      </c>
      <c r="AK39" s="2449">
        <f t="shared" si="29"/>
        <v>-5257.2848000000004</v>
      </c>
    </row>
    <row r="40" spans="1:37" ht="18" customHeight="1" x14ac:dyDescent="0.2">
      <c r="A40" s="2063"/>
      <c r="B40" s="2063"/>
      <c r="C40" s="2063"/>
      <c r="D40" s="2063"/>
      <c r="E40" s="2063"/>
      <c r="F40" s="2063"/>
      <c r="G40" s="2063"/>
      <c r="H40" s="2063"/>
      <c r="I40" s="2063"/>
      <c r="J40" s="2063"/>
      <c r="K40" s="2063"/>
      <c r="L40" s="2063"/>
      <c r="M40" s="2431"/>
      <c r="N40" s="2487" t="s">
        <v>1355</v>
      </c>
      <c r="O40" s="2489"/>
      <c r="P40" s="2472"/>
      <c r="Q40" s="2482">
        <f>+Q32*'CO2 - Destinação'!$E$35</f>
        <v>0</v>
      </c>
      <c r="R40" s="2482">
        <f>+R32*'CO2 - Destinação'!G35</f>
        <v>0</v>
      </c>
      <c r="S40" s="2482">
        <f>+S32*'CO2 - Destinação'!H35</f>
        <v>0</v>
      </c>
      <c r="T40" s="2482">
        <f>+T32*'CO2 - Destinação'!I35</f>
        <v>0</v>
      </c>
      <c r="U40" s="2482">
        <f>+U32*'CO2 - Destinação'!J35</f>
        <v>0</v>
      </c>
      <c r="V40" s="2482">
        <f>+V32*'CO2 - Destinação'!K35</f>
        <v>0</v>
      </c>
      <c r="W40" s="2482">
        <f>+W32*'CO2 - Destinação'!L35</f>
        <v>0</v>
      </c>
      <c r="X40" s="2482">
        <f>+X32*'CO2 - Destinação'!M35</f>
        <v>0</v>
      </c>
      <c r="Y40" s="2488" t="s">
        <v>1332</v>
      </c>
      <c r="Z40" s="2432"/>
      <c r="AA40" s="2433"/>
      <c r="AB40" s="2063"/>
      <c r="AC40" s="2480" t="str">
        <f t="shared" si="28"/>
        <v>Alumínio</v>
      </c>
      <c r="AD40" s="2449">
        <f t="shared" si="29"/>
        <v>-1608.8616000000004</v>
      </c>
      <c r="AE40" s="2449">
        <f t="shared" si="29"/>
        <v>-7642.092599999999</v>
      </c>
      <c r="AF40" s="2449">
        <f t="shared" si="29"/>
        <v>-7642.092599999999</v>
      </c>
      <c r="AG40" s="2449">
        <f t="shared" si="29"/>
        <v>-7642.092599999999</v>
      </c>
      <c r="AH40" s="2449">
        <f t="shared" si="29"/>
        <v>-7642.092599999999</v>
      </c>
      <c r="AI40" s="2449">
        <f t="shared" si="29"/>
        <v>-7642.092599999999</v>
      </c>
      <c r="AJ40" s="2449">
        <f t="shared" si="29"/>
        <v>-7642.092599999999</v>
      </c>
      <c r="AK40" s="2449">
        <f t="shared" si="29"/>
        <v>-7642.092599999999</v>
      </c>
    </row>
    <row r="41" spans="1:37" ht="18" customHeight="1" x14ac:dyDescent="0.2">
      <c r="A41" s="2427" t="s">
        <v>1356</v>
      </c>
      <c r="B41" s="2428"/>
      <c r="C41" s="2428"/>
      <c r="D41" s="2428"/>
      <c r="E41" s="2428"/>
      <c r="F41" s="2428"/>
      <c r="G41" s="2428"/>
      <c r="H41" s="2428"/>
      <c r="I41" s="2428"/>
      <c r="J41" s="2428"/>
      <c r="K41" s="2428"/>
      <c r="L41" s="2455"/>
      <c r="M41" s="2431"/>
      <c r="N41" s="2490"/>
      <c r="O41" s="2491" t="s">
        <v>1357</v>
      </c>
      <c r="P41" s="2492"/>
      <c r="Q41" s="2493" t="str">
        <f>+IF((Q33+Q38+Q39+Q40)=Q32,"correto","errado")</f>
        <v>correto</v>
      </c>
      <c r="R41" s="2493" t="str">
        <f t="shared" ref="R41:X41" si="32">+IF((R33+R38+R39+R40)=R32,"correto","errado")</f>
        <v>correto</v>
      </c>
      <c r="S41" s="2493" t="str">
        <f t="shared" si="32"/>
        <v>correto</v>
      </c>
      <c r="T41" s="2493" t="str">
        <f t="shared" si="32"/>
        <v>correto</v>
      </c>
      <c r="U41" s="2493" t="str">
        <f t="shared" si="32"/>
        <v>correto</v>
      </c>
      <c r="V41" s="2493" t="str">
        <f t="shared" si="32"/>
        <v>correto</v>
      </c>
      <c r="W41" s="2493" t="str">
        <f t="shared" si="32"/>
        <v>correto</v>
      </c>
      <c r="X41" s="2493" t="str">
        <f t="shared" si="32"/>
        <v>correto</v>
      </c>
      <c r="Y41" s="2494"/>
      <c r="Z41" s="2432"/>
      <c r="AA41" s="2433"/>
      <c r="AB41" s="2063"/>
      <c r="AC41" s="2480" t="str">
        <f t="shared" si="28"/>
        <v>Têxteis</v>
      </c>
      <c r="AD41" s="2449">
        <f t="shared" si="29"/>
        <v>0</v>
      </c>
      <c r="AE41" s="2449">
        <f t="shared" si="29"/>
        <v>0</v>
      </c>
      <c r="AF41" s="2449">
        <f t="shared" si="29"/>
        <v>0</v>
      </c>
      <c r="AG41" s="2449">
        <f t="shared" si="29"/>
        <v>0</v>
      </c>
      <c r="AH41" s="2449">
        <f t="shared" si="29"/>
        <v>0</v>
      </c>
      <c r="AI41" s="2449">
        <f t="shared" si="29"/>
        <v>0</v>
      </c>
      <c r="AJ41" s="2449">
        <f t="shared" si="29"/>
        <v>0</v>
      </c>
      <c r="AK41" s="2449">
        <f t="shared" si="29"/>
        <v>0</v>
      </c>
    </row>
    <row r="42" spans="1:37" ht="18" customHeight="1" x14ac:dyDescent="0.2">
      <c r="A42" s="2437"/>
      <c r="B42" s="2063"/>
      <c r="C42" s="2063"/>
      <c r="D42" s="2063"/>
      <c r="E42" s="2063"/>
      <c r="F42" s="2063"/>
      <c r="G42" s="2063"/>
      <c r="H42" s="2063"/>
      <c r="I42" s="2063"/>
      <c r="J42" s="2063"/>
      <c r="K42" s="2063"/>
      <c r="L42" s="2495"/>
      <c r="M42" s="2431"/>
      <c r="N42" s="1987" t="s">
        <v>1311</v>
      </c>
      <c r="O42" s="2074"/>
      <c r="P42" s="2074"/>
      <c r="Q42" s="2482">
        <f t="shared" ref="Q42:X42" si="33">+Q39*Q26*10*$R$12</f>
        <v>0</v>
      </c>
      <c r="R42" s="2482">
        <f t="shared" si="33"/>
        <v>0</v>
      </c>
      <c r="S42" s="2482">
        <f t="shared" si="33"/>
        <v>0</v>
      </c>
      <c r="T42" s="2482">
        <f t="shared" si="33"/>
        <v>0</v>
      </c>
      <c r="U42" s="2482">
        <f t="shared" si="33"/>
        <v>0</v>
      </c>
      <c r="V42" s="2482">
        <f t="shared" si="33"/>
        <v>0</v>
      </c>
      <c r="W42" s="2482">
        <f t="shared" si="33"/>
        <v>0</v>
      </c>
      <c r="X42" s="2482">
        <f t="shared" si="33"/>
        <v>0</v>
      </c>
      <c r="Y42" s="2062" t="s">
        <v>1358</v>
      </c>
      <c r="Z42" s="2063"/>
      <c r="AA42" s="2433"/>
      <c r="AB42" s="2063"/>
      <c r="AC42" s="2438"/>
      <c r="AD42" s="2496"/>
      <c r="AE42" s="2062"/>
      <c r="AF42" s="2062"/>
      <c r="AG42" s="2062"/>
      <c r="AH42" s="2062"/>
      <c r="AI42" s="2062"/>
      <c r="AJ42" s="2062"/>
      <c r="AK42" s="2062"/>
    </row>
    <row r="43" spans="1:37" ht="18" customHeight="1" x14ac:dyDescent="0.2">
      <c r="A43" s="2437"/>
      <c r="B43" s="2063"/>
      <c r="C43" s="2497" t="s">
        <v>1304</v>
      </c>
      <c r="D43" s="2498" t="s">
        <v>1359</v>
      </c>
      <c r="E43" s="2495"/>
      <c r="F43" s="2495"/>
      <c r="G43" s="2495"/>
      <c r="H43" s="2495"/>
      <c r="I43" s="2495"/>
      <c r="J43" s="2495"/>
      <c r="K43" s="2495"/>
      <c r="L43" s="2495"/>
      <c r="M43" s="2431"/>
      <c r="N43" s="2160" t="s">
        <v>1360</v>
      </c>
      <c r="O43" s="2482">
        <f>7.2/3.6</f>
        <v>2</v>
      </c>
      <c r="P43" s="2160" t="s">
        <v>1361</v>
      </c>
      <c r="Q43" s="2482">
        <f t="shared" ref="Q43:X43" si="34">+$O$43*$C$3/1000</f>
        <v>0.15180000000000002</v>
      </c>
      <c r="R43" s="2482">
        <f t="shared" si="34"/>
        <v>0.15180000000000002</v>
      </c>
      <c r="S43" s="2482">
        <f t="shared" si="34"/>
        <v>0.15180000000000002</v>
      </c>
      <c r="T43" s="2482">
        <f t="shared" si="34"/>
        <v>0.15180000000000002</v>
      </c>
      <c r="U43" s="2482">
        <f t="shared" si="34"/>
        <v>0.15180000000000002</v>
      </c>
      <c r="V43" s="2482">
        <f t="shared" si="34"/>
        <v>0.15180000000000002</v>
      </c>
      <c r="W43" s="2482">
        <f t="shared" si="34"/>
        <v>0.15180000000000002</v>
      </c>
      <c r="X43" s="2482">
        <f t="shared" si="34"/>
        <v>0.15180000000000002</v>
      </c>
      <c r="Y43" s="2062" t="s">
        <v>1322</v>
      </c>
      <c r="Z43" s="2063"/>
      <c r="AA43" s="2433"/>
      <c r="AB43" s="2427" t="s">
        <v>1362</v>
      </c>
      <c r="AC43" s="2434"/>
      <c r="AD43" s="2435"/>
      <c r="AE43" s="2435"/>
      <c r="AF43" s="2435"/>
      <c r="AG43" s="2435"/>
      <c r="AH43" s="2435"/>
      <c r="AI43" s="2435"/>
      <c r="AJ43" s="2435"/>
      <c r="AK43" s="2435"/>
    </row>
    <row r="44" spans="1:37" ht="18" customHeight="1" x14ac:dyDescent="0.2">
      <c r="A44" s="2437"/>
      <c r="B44" s="2304" t="s">
        <v>1083</v>
      </c>
      <c r="C44" s="2330"/>
      <c r="D44" s="2330">
        <f>+'CO2 - Início'!J24</f>
        <v>146000</v>
      </c>
      <c r="E44" s="2499"/>
      <c r="F44" s="2499"/>
      <c r="G44" s="2499"/>
      <c r="H44" s="2499"/>
      <c r="I44" s="2499"/>
      <c r="J44" s="2499"/>
      <c r="K44" s="2499"/>
      <c r="L44" s="2495"/>
      <c r="M44" s="2431"/>
      <c r="N44" s="2160" t="s">
        <v>1363</v>
      </c>
      <c r="O44" s="2482">
        <f>1.4573/3.6*0</f>
        <v>0</v>
      </c>
      <c r="P44" s="2160" t="s">
        <v>1361</v>
      </c>
      <c r="Q44" s="2482">
        <f t="shared" ref="Q44:X44" si="35">+$O$44*$C$4/1000</f>
        <v>0</v>
      </c>
      <c r="R44" s="2482">
        <f t="shared" si="35"/>
        <v>0</v>
      </c>
      <c r="S44" s="2482">
        <f t="shared" si="35"/>
        <v>0</v>
      </c>
      <c r="T44" s="2482">
        <f t="shared" si="35"/>
        <v>0</v>
      </c>
      <c r="U44" s="2482">
        <f t="shared" si="35"/>
        <v>0</v>
      </c>
      <c r="V44" s="2482">
        <f t="shared" si="35"/>
        <v>0</v>
      </c>
      <c r="W44" s="2482">
        <f t="shared" si="35"/>
        <v>0</v>
      </c>
      <c r="X44" s="2482">
        <f t="shared" si="35"/>
        <v>0</v>
      </c>
      <c r="Y44" s="2062" t="s">
        <v>1322</v>
      </c>
      <c r="Z44" s="2063"/>
      <c r="AA44" s="2433"/>
      <c r="AB44" s="2437"/>
      <c r="AC44" s="2438"/>
      <c r="AD44" s="2062"/>
      <c r="AE44" s="2062"/>
      <c r="AF44" s="2062"/>
      <c r="AG44" s="2062"/>
      <c r="AH44" s="2062"/>
      <c r="AI44" s="2062"/>
      <c r="AJ44" s="2062"/>
      <c r="AK44" s="2062"/>
    </row>
    <row r="45" spans="1:37" ht="18" customHeight="1" x14ac:dyDescent="0.2">
      <c r="A45" s="2437"/>
      <c r="B45" s="2500" t="s">
        <v>1364</v>
      </c>
      <c r="C45" s="2470"/>
      <c r="D45" s="2501"/>
      <c r="E45" s="2063"/>
      <c r="F45" s="2063"/>
      <c r="G45" s="2063"/>
      <c r="H45" s="2063"/>
      <c r="I45" s="2063"/>
      <c r="J45" s="2063"/>
      <c r="K45" s="2063"/>
      <c r="L45" s="2495"/>
      <c r="M45" s="2431"/>
      <c r="N45" s="2160" t="s">
        <v>1365</v>
      </c>
      <c r="O45" s="2482">
        <f>10.994/3.6</f>
        <v>3.0538888888888889</v>
      </c>
      <c r="P45" s="2160" t="s">
        <v>1361</v>
      </c>
      <c r="Q45" s="2482">
        <f t="shared" ref="Q45:X45" si="36">+$O$45*$C$5/1000</f>
        <v>3.0867304029626488</v>
      </c>
      <c r="R45" s="2482">
        <f t="shared" si="36"/>
        <v>3.0867304029626488</v>
      </c>
      <c r="S45" s="2482">
        <f t="shared" si="36"/>
        <v>3.0867304029626488</v>
      </c>
      <c r="T45" s="2482">
        <f t="shared" si="36"/>
        <v>3.0867304029626488</v>
      </c>
      <c r="U45" s="2482">
        <f t="shared" si="36"/>
        <v>3.0867304029626488</v>
      </c>
      <c r="V45" s="2482">
        <f t="shared" si="36"/>
        <v>3.0867304029626488</v>
      </c>
      <c r="W45" s="2482">
        <f t="shared" si="36"/>
        <v>3.0867304029626488</v>
      </c>
      <c r="X45" s="2482">
        <f t="shared" si="36"/>
        <v>3.0867304029626488</v>
      </c>
      <c r="Y45" s="2062" t="s">
        <v>1322</v>
      </c>
      <c r="Z45" s="2063"/>
      <c r="AA45" s="2433"/>
      <c r="AB45" s="2063"/>
      <c r="AC45" s="2502"/>
      <c r="AD45" s="2077" t="str">
        <f t="shared" ref="AD45:AK45" si="37">+D72</f>
        <v>Cenário-Base</v>
      </c>
      <c r="AE45" s="2077" t="str">
        <f t="shared" si="37"/>
        <v>Biodigestão RT1A + CDR TM</v>
      </c>
      <c r="AF45" s="2077" t="str">
        <f t="shared" si="37"/>
        <v>Biodigestão RT1B + CDR TM</v>
      </c>
      <c r="AG45" s="2077" t="str">
        <f t="shared" si="37"/>
        <v>Biodigestão RT1C + CDR TM</v>
      </c>
      <c r="AH45" s="2077" t="str">
        <f t="shared" si="37"/>
        <v>Compostagem + CDR TM</v>
      </c>
      <c r="AI45" s="2077" t="str">
        <f t="shared" si="37"/>
        <v xml:space="preserve">Biosecagem + CDR TMB </v>
      </c>
      <c r="AJ45" s="2077" t="str">
        <f t="shared" si="37"/>
        <v>Incineração Mass Burning</v>
      </c>
      <c r="AK45" s="2077" t="str">
        <f t="shared" si="37"/>
        <v>Incineração Mass Burn. Descentralizada</v>
      </c>
    </row>
    <row r="46" spans="1:37" ht="18" customHeight="1" x14ac:dyDescent="0.2">
      <c r="A46" s="2437"/>
      <c r="B46" s="2448" t="s">
        <v>1107</v>
      </c>
      <c r="C46" s="2503">
        <f>+'CO2 - Início'!E35</f>
        <v>0.48399999999999999</v>
      </c>
      <c r="D46" s="2449">
        <f>+$D$44*C46</f>
        <v>70664</v>
      </c>
      <c r="E46" s="2063"/>
      <c r="F46" s="2063"/>
      <c r="G46" s="2063"/>
      <c r="H46" s="2063"/>
      <c r="I46" s="2063"/>
      <c r="J46" s="2063"/>
      <c r="K46" s="2063"/>
      <c r="L46" s="2495"/>
      <c r="M46" s="2431"/>
      <c r="N46" s="1987" t="s">
        <v>1366</v>
      </c>
      <c r="O46" s="2074"/>
      <c r="P46" s="2504"/>
      <c r="Q46" s="2505">
        <f t="shared" ref="Q46:X46" si="38">+Q37+$Q$43+$Q$44+$Q$45</f>
        <v>1184.6316441688894</v>
      </c>
      <c r="R46" s="2505">
        <f t="shared" si="38"/>
        <v>1174.8936522338058</v>
      </c>
      <c r="S46" s="2505">
        <f t="shared" si="38"/>
        <v>1174.8936522338058</v>
      </c>
      <c r="T46" s="2505">
        <f t="shared" si="38"/>
        <v>1174.8936522338058</v>
      </c>
      <c r="U46" s="2505">
        <f t="shared" si="38"/>
        <v>1174.8936522338058</v>
      </c>
      <c r="V46" s="2505">
        <f t="shared" si="38"/>
        <v>1174.8936522338058</v>
      </c>
      <c r="W46" s="2505">
        <f t="shared" si="38"/>
        <v>1174.8936522338058</v>
      </c>
      <c r="X46" s="2505">
        <f t="shared" si="38"/>
        <v>1174.8936522338058</v>
      </c>
      <c r="Y46" s="2506" t="s">
        <v>1322</v>
      </c>
      <c r="Z46" s="2063"/>
      <c r="AA46" s="2433"/>
      <c r="AB46" s="2063"/>
      <c r="AC46" s="2507" t="s">
        <v>1287</v>
      </c>
      <c r="AD46" s="2445" t="s">
        <v>1288</v>
      </c>
      <c r="AE46" s="2446"/>
      <c r="AF46" s="2446"/>
      <c r="AG46" s="2446"/>
      <c r="AH46" s="2446"/>
      <c r="AI46" s="2446"/>
      <c r="AJ46" s="2446"/>
      <c r="AK46" s="2446"/>
    </row>
    <row r="47" spans="1:37" ht="18" customHeight="1" x14ac:dyDescent="0.2">
      <c r="A47" s="2437"/>
      <c r="B47" s="2448" t="s">
        <v>1108</v>
      </c>
      <c r="C47" s="2503">
        <f>+'CO2 - Início'!E36</f>
        <v>0.03</v>
      </c>
      <c r="D47" s="2449">
        <f>+$D$44*C47</f>
        <v>4380</v>
      </c>
      <c r="E47" s="2063"/>
      <c r="F47" s="2063"/>
      <c r="G47" s="2063"/>
      <c r="H47" s="2063"/>
      <c r="I47" s="2063"/>
      <c r="J47" s="2063"/>
      <c r="K47" s="2063"/>
      <c r="L47" s="2495"/>
      <c r="M47" s="2431"/>
      <c r="N47" s="2304" t="s">
        <v>1367</v>
      </c>
      <c r="O47" s="2508"/>
      <c r="P47" s="2508"/>
      <c r="Q47" s="2505">
        <f t="shared" ref="Q47:X47" si="39">((+Q42*$C$3)+(Q40*Q26*10*$C$6))/1000</f>
        <v>0</v>
      </c>
      <c r="R47" s="2505">
        <f t="shared" si="39"/>
        <v>0</v>
      </c>
      <c r="S47" s="2505">
        <f t="shared" si="39"/>
        <v>0</v>
      </c>
      <c r="T47" s="2505">
        <f t="shared" si="39"/>
        <v>0</v>
      </c>
      <c r="U47" s="2505">
        <f t="shared" si="39"/>
        <v>0</v>
      </c>
      <c r="V47" s="2505">
        <f t="shared" si="39"/>
        <v>0</v>
      </c>
      <c r="W47" s="2505">
        <f t="shared" si="39"/>
        <v>0</v>
      </c>
      <c r="X47" s="2505">
        <f t="shared" si="39"/>
        <v>0</v>
      </c>
      <c r="Y47" s="2506" t="s">
        <v>1322</v>
      </c>
      <c r="Z47" s="2063"/>
      <c r="AA47" s="2433"/>
      <c r="AB47" s="2063"/>
      <c r="AC47" s="2509" t="s">
        <v>1242</v>
      </c>
      <c r="AD47" s="2449">
        <f>+D$97*'CO2 - Destinação'!E7</f>
        <v>0</v>
      </c>
      <c r="AE47" s="2449">
        <f>+E$97*'CO2 - Destinação'!G7</f>
        <v>0</v>
      </c>
      <c r="AF47" s="2449">
        <f>+F$97*'CO2 - Destinação'!H7</f>
        <v>0</v>
      </c>
      <c r="AG47" s="2449">
        <f>+G$97*'CO2 - Destinação'!I7</f>
        <v>0</v>
      </c>
      <c r="AH47" s="2449">
        <f>+H$97*'CO2 - Destinação'!J7</f>
        <v>0</v>
      </c>
      <c r="AI47" s="2449">
        <f>+I$97*'CO2 - Destinação'!K7</f>
        <v>0</v>
      </c>
      <c r="AJ47" s="2449">
        <f>+J$97*'CO2 - Destinação'!L7</f>
        <v>0</v>
      </c>
      <c r="AK47" s="2449">
        <f>+K$97*'CO2 - Destinação'!M7</f>
        <v>0</v>
      </c>
    </row>
    <row r="48" spans="1:37" ht="18" customHeight="1" x14ac:dyDescent="0.2">
      <c r="A48" s="2437"/>
      <c r="B48" s="2448" t="s">
        <v>1109</v>
      </c>
      <c r="C48" s="2503">
        <f>+'CO2 - Início'!E37</f>
        <v>0.13100000000000001</v>
      </c>
      <c r="D48" s="2449">
        <f t="shared" ref="D48:D58" si="40">+$D$44*C48</f>
        <v>19126</v>
      </c>
      <c r="E48" s="2063"/>
      <c r="F48" s="2063"/>
      <c r="G48" s="2063"/>
      <c r="H48" s="2063"/>
      <c r="I48" s="2063"/>
      <c r="J48" s="2063"/>
      <c r="K48" s="2063"/>
      <c r="L48" s="2495"/>
      <c r="M48" s="2431"/>
      <c r="N48" s="2437"/>
      <c r="O48" s="2437"/>
      <c r="P48" s="2437"/>
      <c r="Q48" s="2437"/>
      <c r="R48" s="2510"/>
      <c r="S48" s="2510"/>
      <c r="T48" s="2510"/>
      <c r="U48" s="2510"/>
      <c r="V48" s="2437"/>
      <c r="W48" s="2437"/>
      <c r="X48" s="2437"/>
      <c r="Y48" s="2063"/>
      <c r="Z48" s="2063"/>
      <c r="AA48" s="2433"/>
      <c r="AB48" s="2063"/>
      <c r="AC48" s="2509" t="s">
        <v>1243</v>
      </c>
      <c r="AD48" s="2449">
        <f>+D$97*'CO2 - Destinação'!E8</f>
        <v>0</v>
      </c>
      <c r="AE48" s="2449">
        <f>+E$97*'CO2 - Destinação'!G8</f>
        <v>0</v>
      </c>
      <c r="AF48" s="2449">
        <f>+F$97*'CO2 - Destinação'!H8</f>
        <v>0</v>
      </c>
      <c r="AG48" s="2449">
        <f>+G$97*'CO2 - Destinação'!I8</f>
        <v>0</v>
      </c>
      <c r="AH48" s="2449">
        <f>+H$97*'CO2 - Destinação'!J8</f>
        <v>0</v>
      </c>
      <c r="AI48" s="2449">
        <f>+I$97*'CO2 - Destinação'!K8</f>
        <v>0</v>
      </c>
      <c r="AJ48" s="2449">
        <f>+J$97*'CO2 - Destinação'!L8</f>
        <v>0</v>
      </c>
      <c r="AK48" s="2449">
        <f>+K$97*'CO2 - Destinação'!M8</f>
        <v>0</v>
      </c>
    </row>
    <row r="49" spans="1:37" ht="18" customHeight="1" x14ac:dyDescent="0.2">
      <c r="A49" s="2437"/>
      <c r="B49" s="2448" t="s">
        <v>1110</v>
      </c>
      <c r="C49" s="2503">
        <f>+'CO2 - Início'!E38</f>
        <v>0.13500000000000001</v>
      </c>
      <c r="D49" s="2449">
        <f t="shared" si="40"/>
        <v>19710</v>
      </c>
      <c r="E49" s="2063"/>
      <c r="F49" s="2063"/>
      <c r="G49" s="2063"/>
      <c r="H49" s="2063"/>
      <c r="I49" s="2063"/>
      <c r="J49" s="2063"/>
      <c r="K49" s="2063"/>
      <c r="L49" s="2495"/>
      <c r="M49" s="2431"/>
      <c r="N49" s="2511" t="s">
        <v>1368</v>
      </c>
      <c r="O49" s="2512"/>
      <c r="P49" s="2512"/>
      <c r="Q49" s="2063"/>
      <c r="R49" s="2063"/>
      <c r="S49" s="2063"/>
      <c r="T49" s="2063"/>
      <c r="U49" s="2063"/>
      <c r="V49" s="2063"/>
      <c r="W49" s="2063"/>
      <c r="X49" s="2063"/>
      <c r="Y49" s="2063"/>
      <c r="Z49" s="2063"/>
      <c r="AA49" s="2433"/>
      <c r="AB49" s="2063"/>
      <c r="AC49" s="2509" t="s">
        <v>1244</v>
      </c>
      <c r="AD49" s="2449">
        <f>+D$97*'CO2 - Destinação'!E10</f>
        <v>0</v>
      </c>
      <c r="AE49" s="2449">
        <f>+E$97*'CO2 - Destinação'!G10</f>
        <v>0</v>
      </c>
      <c r="AF49" s="2449">
        <f>+F$97*'CO2 - Destinação'!H10</f>
        <v>0</v>
      </c>
      <c r="AG49" s="2449">
        <f>+G$97*'CO2 - Destinação'!I10</f>
        <v>0</v>
      </c>
      <c r="AH49" s="2449">
        <f>+H$97*'CO2 - Destinação'!J10</f>
        <v>0</v>
      </c>
      <c r="AI49" s="2449">
        <f>+I$97*'CO2 - Destinação'!K10</f>
        <v>0</v>
      </c>
      <c r="AJ49" s="2449">
        <f>+J$97*'CO2 - Destinação'!L10</f>
        <v>0</v>
      </c>
      <c r="AK49" s="2449">
        <f>+K$97*'CO2 - Destinação'!M10</f>
        <v>0</v>
      </c>
    </row>
    <row r="50" spans="1:37" ht="18" customHeight="1" x14ac:dyDescent="0.2">
      <c r="A50" s="2437"/>
      <c r="B50" s="2448" t="s">
        <v>50</v>
      </c>
      <c r="C50" s="2503">
        <f>+'CO2 - Início'!E39</f>
        <v>2.4E-2</v>
      </c>
      <c r="D50" s="2449">
        <f t="shared" si="40"/>
        <v>3504</v>
      </c>
      <c r="E50" s="2063"/>
      <c r="F50" s="2063"/>
      <c r="G50" s="2063"/>
      <c r="H50" s="2063"/>
      <c r="I50" s="2063"/>
      <c r="J50" s="2063"/>
      <c r="K50" s="2063"/>
      <c r="L50" s="2495"/>
      <c r="M50" s="2431"/>
      <c r="N50" s="2513" t="s">
        <v>1369</v>
      </c>
      <c r="O50" s="2514"/>
      <c r="P50" s="2515"/>
      <c r="Q50" s="2063"/>
      <c r="R50" s="2063"/>
      <c r="S50" s="2063"/>
      <c r="T50" s="2063"/>
      <c r="U50" s="2063"/>
      <c r="V50" s="2063"/>
      <c r="W50" s="2063"/>
      <c r="X50" s="2063"/>
      <c r="Y50" s="2063"/>
      <c r="Z50" s="2063"/>
      <c r="AA50" s="2433"/>
      <c r="AB50" s="2063"/>
      <c r="AC50" s="2509" t="s">
        <v>1245</v>
      </c>
      <c r="AD50" s="2449">
        <f>+D$97*'CO2 - Destinação'!E11</f>
        <v>0</v>
      </c>
      <c r="AE50" s="2449">
        <f>+E$97*'CO2 - Destinação'!G11</f>
        <v>0</v>
      </c>
      <c r="AF50" s="2449">
        <f>+F$97*'CO2 - Destinação'!H11</f>
        <v>0</v>
      </c>
      <c r="AG50" s="2449">
        <f>+G$97*'CO2 - Destinação'!I11</f>
        <v>0</v>
      </c>
      <c r="AH50" s="2449">
        <f>+H$97*'CO2 - Destinação'!J11</f>
        <v>0</v>
      </c>
      <c r="AI50" s="2449">
        <f>+I$97*'CO2 - Destinação'!K11</f>
        <v>39381.762599999995</v>
      </c>
      <c r="AJ50" s="2449">
        <f>+J$97*'CO2 - Destinação'!L11</f>
        <v>19690.881299999997</v>
      </c>
      <c r="AK50" s="2449">
        <f>+K$97*'CO2 - Destinação'!M11</f>
        <v>19690.881299999997</v>
      </c>
    </row>
    <row r="51" spans="1:37" ht="18" customHeight="1" x14ac:dyDescent="0.2">
      <c r="A51" s="2437"/>
      <c r="B51" s="2448" t="s">
        <v>1111</v>
      </c>
      <c r="C51" s="2503">
        <f>+'CO2 - Início'!E40</f>
        <v>2.3E-2</v>
      </c>
      <c r="D51" s="2449">
        <f t="shared" si="40"/>
        <v>3358</v>
      </c>
      <c r="E51" s="2063"/>
      <c r="F51" s="2063"/>
      <c r="G51" s="2063"/>
      <c r="H51" s="2063"/>
      <c r="I51" s="2063"/>
      <c r="J51" s="2063"/>
      <c r="K51" s="2063"/>
      <c r="L51" s="2495"/>
      <c r="M51" s="2431"/>
      <c r="N51" s="2513" t="s">
        <v>1370</v>
      </c>
      <c r="O51" s="2516"/>
      <c r="P51" s="2517"/>
      <c r="Q51" s="2518">
        <f t="shared" ref="Q51:X51" si="41">D120</f>
        <v>0.10246513642000825</v>
      </c>
      <c r="R51" s="2518">
        <f t="shared" si="41"/>
        <v>9.6614717142294707E-2</v>
      </c>
      <c r="S51" s="2518">
        <f t="shared" si="41"/>
        <v>9.6614717142294707E-2</v>
      </c>
      <c r="T51" s="2518">
        <f t="shared" si="41"/>
        <v>9.6614717142294707E-2</v>
      </c>
      <c r="U51" s="2518">
        <f t="shared" si="41"/>
        <v>9.6614717142294707E-2</v>
      </c>
      <c r="V51" s="2518">
        <f t="shared" si="41"/>
        <v>9.6614717142294707E-2</v>
      </c>
      <c r="W51" s="2518">
        <f t="shared" si="41"/>
        <v>9.6614717142294707E-2</v>
      </c>
      <c r="X51" s="2518">
        <f t="shared" si="41"/>
        <v>9.6614717142294707E-2</v>
      </c>
      <c r="Y51" s="2062" t="s">
        <v>194</v>
      </c>
      <c r="Z51" s="2063"/>
      <c r="AA51" s="2433"/>
      <c r="AB51" s="2063"/>
      <c r="AC51" s="2509" t="s">
        <v>64</v>
      </c>
      <c r="AD51" s="2449">
        <f>+D$97*'CO2 - Destinação'!E12</f>
        <v>141269.6</v>
      </c>
      <c r="AE51" s="2449">
        <f>+E$97*'CO2 - Destinação'!G12</f>
        <v>45945.389699999992</v>
      </c>
      <c r="AF51" s="2449">
        <f>+F$97*'CO2 - Destinação'!H12</f>
        <v>45945.389699999992</v>
      </c>
      <c r="AG51" s="2449">
        <f>+G$97*'CO2 - Destinação'!I12</f>
        <v>45945.389699999992</v>
      </c>
      <c r="AH51" s="2449">
        <f>+H$97*'CO2 - Destinação'!J12</f>
        <v>49227.203249999991</v>
      </c>
      <c r="AI51" s="2449">
        <f>+I$97*'CO2 - Destinação'!K12</f>
        <v>0</v>
      </c>
      <c r="AJ51" s="2449">
        <f>+J$97*'CO2 - Destinação'!L12</f>
        <v>0</v>
      </c>
      <c r="AK51" s="2449">
        <f>+K$97*'CO2 - Destinação'!M12</f>
        <v>0</v>
      </c>
    </row>
    <row r="52" spans="1:37" ht="18" customHeight="1" x14ac:dyDescent="0.2">
      <c r="A52" s="2437"/>
      <c r="B52" s="2448" t="s">
        <v>1112</v>
      </c>
      <c r="C52" s="2503">
        <f>+'CO2 - Início'!E41</f>
        <v>6.0000000000000001E-3</v>
      </c>
      <c r="D52" s="2449">
        <f t="shared" si="40"/>
        <v>876</v>
      </c>
      <c r="E52" s="2063"/>
      <c r="F52" s="2063"/>
      <c r="G52" s="2063"/>
      <c r="H52" s="2063"/>
      <c r="I52" s="2063"/>
      <c r="J52" s="2063"/>
      <c r="K52" s="2063"/>
      <c r="L52" s="2495"/>
      <c r="M52" s="2431"/>
      <c r="N52" s="2519" t="s">
        <v>1371</v>
      </c>
      <c r="O52" s="2520"/>
      <c r="P52" s="2521"/>
      <c r="Q52" s="2522">
        <f t="shared" ref="Q52:X52" si="42">1000*Q51*44/12</f>
        <v>375.70550020669697</v>
      </c>
      <c r="R52" s="2522">
        <f t="shared" si="42"/>
        <v>354.2539628550806</v>
      </c>
      <c r="S52" s="2522">
        <f t="shared" si="42"/>
        <v>354.2539628550806</v>
      </c>
      <c r="T52" s="2522">
        <f t="shared" si="42"/>
        <v>354.2539628550806</v>
      </c>
      <c r="U52" s="2522">
        <f t="shared" si="42"/>
        <v>354.2539628550806</v>
      </c>
      <c r="V52" s="2522">
        <f t="shared" si="42"/>
        <v>354.2539628550806</v>
      </c>
      <c r="W52" s="2522">
        <f t="shared" si="42"/>
        <v>354.2539628550806</v>
      </c>
      <c r="X52" s="2522">
        <f t="shared" si="42"/>
        <v>354.2539628550806</v>
      </c>
      <c r="Y52" s="2471" t="s">
        <v>1372</v>
      </c>
      <c r="Z52" s="2063"/>
      <c r="AA52" s="2433"/>
      <c r="AB52" s="2063"/>
      <c r="AC52" s="2509" t="s">
        <v>1246</v>
      </c>
      <c r="AD52" s="2449">
        <f>+D$97*'CO2 - Destinação'!E14</f>
        <v>0</v>
      </c>
      <c r="AE52" s="2449">
        <f>+E$97*'CO2 - Destinação'!G14</f>
        <v>0</v>
      </c>
      <c r="AF52" s="2449">
        <f>+F$97*'CO2 - Destinação'!H14</f>
        <v>0</v>
      </c>
      <c r="AG52" s="2449">
        <f>+G$97*'CO2 - Destinação'!I14</f>
        <v>0</v>
      </c>
      <c r="AH52" s="2449">
        <f>+H$97*'CO2 - Destinação'!J14</f>
        <v>82045.338749999995</v>
      </c>
      <c r="AI52" s="2449">
        <f>+I$97*'CO2 - Destinação'!K14</f>
        <v>0</v>
      </c>
      <c r="AJ52" s="2449">
        <f>+J$97*'CO2 - Destinação'!L14</f>
        <v>0</v>
      </c>
      <c r="AK52" s="2449">
        <f>+K$97*'CO2 - Destinação'!M14</f>
        <v>0</v>
      </c>
    </row>
    <row r="53" spans="1:37" ht="18" customHeight="1" x14ac:dyDescent="0.2">
      <c r="A53" s="2437"/>
      <c r="B53" s="2448" t="s">
        <v>1113</v>
      </c>
      <c r="C53" s="2503">
        <f>+'CO2 - Início'!E42</f>
        <v>4.4500000000000005E-2</v>
      </c>
      <c r="D53" s="2449">
        <f t="shared" si="40"/>
        <v>6497.0000000000009</v>
      </c>
      <c r="E53" s="2063"/>
      <c r="F53" s="2063"/>
      <c r="G53" s="2063"/>
      <c r="H53" s="2063"/>
      <c r="I53" s="2063"/>
      <c r="J53" s="2063"/>
      <c r="K53" s="2063"/>
      <c r="L53" s="2495"/>
      <c r="M53" s="2431"/>
      <c r="N53" s="2513" t="s">
        <v>1373</v>
      </c>
      <c r="O53" s="2514"/>
      <c r="P53" s="2515"/>
      <c r="Q53" s="2523">
        <f t="shared" ref="Q53:X53" si="43">+(D124+D125)/3.6*1000</f>
        <v>2303.0809333517063</v>
      </c>
      <c r="R53" s="2523">
        <f t="shared" si="43"/>
        <v>2212.3760974070779</v>
      </c>
      <c r="S53" s="2523">
        <f t="shared" si="43"/>
        <v>2212.3760974070779</v>
      </c>
      <c r="T53" s="2523">
        <f t="shared" si="43"/>
        <v>2212.3760974070779</v>
      </c>
      <c r="U53" s="2523">
        <f t="shared" si="43"/>
        <v>2212.3760974070779</v>
      </c>
      <c r="V53" s="2523">
        <f t="shared" si="43"/>
        <v>2212.3760974070779</v>
      </c>
      <c r="W53" s="2523">
        <f t="shared" si="43"/>
        <v>2212.3760974070779</v>
      </c>
      <c r="X53" s="2523">
        <f t="shared" si="43"/>
        <v>2212.3760974070779</v>
      </c>
      <c r="Y53" s="2062" t="s">
        <v>1358</v>
      </c>
      <c r="Z53" s="2063"/>
      <c r="AA53" s="2433"/>
      <c r="AB53" s="2063"/>
      <c r="AC53" s="2509" t="s">
        <v>1247</v>
      </c>
      <c r="AD53" s="2449">
        <f>+D$97*'CO2 - Destinação'!E15</f>
        <v>0</v>
      </c>
      <c r="AE53" s="2449">
        <f>+E$97*'CO2 - Destinação'!G15</f>
        <v>16409.067749999998</v>
      </c>
      <c r="AF53" s="2449">
        <f>+F$97*'CO2 - Destinação'!H15</f>
        <v>16409.067749999998</v>
      </c>
      <c r="AG53" s="2449">
        <f>+G$97*'CO2 - Destinação'!I15</f>
        <v>16409.067749999998</v>
      </c>
      <c r="AH53" s="2449">
        <f>+H$97*'CO2 - Destinação'!J15</f>
        <v>0</v>
      </c>
      <c r="AI53" s="2449">
        <f>+I$97*'CO2 - Destinação'!K15</f>
        <v>0</v>
      </c>
      <c r="AJ53" s="2449">
        <f>+J$97*'CO2 - Destinação'!L15</f>
        <v>0</v>
      </c>
      <c r="AK53" s="2449">
        <f>+K$97*'CO2 - Destinação'!M15</f>
        <v>0</v>
      </c>
    </row>
    <row r="54" spans="1:37" ht="18" customHeight="1" x14ac:dyDescent="0.2">
      <c r="A54" s="2437"/>
      <c r="B54" s="2448" t="s">
        <v>1374</v>
      </c>
      <c r="C54" s="2503">
        <f>+'CO2 - Início'!E43</f>
        <v>9.5999999999999992E-3</v>
      </c>
      <c r="D54" s="2449">
        <f t="shared" si="40"/>
        <v>1401.6</v>
      </c>
      <c r="E54" s="2063"/>
      <c r="F54" s="2063"/>
      <c r="G54" s="2063"/>
      <c r="H54" s="2063"/>
      <c r="I54" s="2063"/>
      <c r="J54" s="2063"/>
      <c r="K54" s="2063"/>
      <c r="L54" s="2495"/>
      <c r="M54" s="2431"/>
      <c r="N54" s="2513" t="s">
        <v>1375</v>
      </c>
      <c r="O54" s="2514"/>
      <c r="P54" s="2515"/>
      <c r="Q54" s="2524">
        <f>+Q53*'CO2 - Destinação'!E58</f>
        <v>345.46214000275592</v>
      </c>
      <c r="R54" s="2524">
        <f>+R53*'CO2 - Destinação'!G58</f>
        <v>331.85641461106167</v>
      </c>
      <c r="S54" s="2524">
        <f>+S53*'CO2 - Destinação'!H58</f>
        <v>331.85641461106167</v>
      </c>
      <c r="T54" s="2524">
        <f>+T53*'CO2 - Destinação'!I58</f>
        <v>331.85641461106167</v>
      </c>
      <c r="U54" s="2524">
        <f>+U53*'CO2 - Destinação'!J58</f>
        <v>331.85641461106167</v>
      </c>
      <c r="V54" s="2524">
        <f>+V53*'CO2 - Destinação'!K58</f>
        <v>331.85641461106167</v>
      </c>
      <c r="W54" s="2524">
        <f>+W53*'CO2 - Destinação'!L58</f>
        <v>331.85641461106167</v>
      </c>
      <c r="X54" s="2524">
        <f>+X53*'CO2 - Destinação'!M58</f>
        <v>331.85641461106167</v>
      </c>
      <c r="Y54" s="2062" t="s">
        <v>1358</v>
      </c>
      <c r="Z54" s="2063"/>
      <c r="AA54" s="2433"/>
      <c r="AB54" s="2063"/>
      <c r="AC54" s="2509" t="s">
        <v>1248</v>
      </c>
      <c r="AD54" s="2449">
        <f>+D$97*'CO2 - Destinação'!E16</f>
        <v>0</v>
      </c>
      <c r="AE54" s="2449">
        <f>+E$97*'CO2 - Destinação'!G16</f>
        <v>68918.08455</v>
      </c>
      <c r="AF54" s="2449">
        <f>+F$97*'CO2 - Destinação'!H16</f>
        <v>68918.08455</v>
      </c>
      <c r="AG54" s="2449">
        <f>+G$97*'CO2 - Destinação'!I16</f>
        <v>68918.08455</v>
      </c>
      <c r="AH54" s="2449">
        <f>+H$97*'CO2 - Destinação'!J16</f>
        <v>0</v>
      </c>
      <c r="AI54" s="2449">
        <f>+I$97*'CO2 - Destinação'!K16</f>
        <v>0</v>
      </c>
      <c r="AJ54" s="2449">
        <f>+J$97*'CO2 - Destinação'!L16</f>
        <v>0</v>
      </c>
      <c r="AK54" s="2449">
        <f>+K$97*'CO2 - Destinação'!M16</f>
        <v>0</v>
      </c>
    </row>
    <row r="55" spans="1:37" ht="18" customHeight="1" x14ac:dyDescent="0.2">
      <c r="A55" s="2437"/>
      <c r="B55" s="2448" t="s">
        <v>1320</v>
      </c>
      <c r="C55" s="2503">
        <f>+'CO2 - Início'!E44</f>
        <v>0.04</v>
      </c>
      <c r="D55" s="2449">
        <f t="shared" si="40"/>
        <v>5840</v>
      </c>
      <c r="E55" s="2063"/>
      <c r="F55" s="2063"/>
      <c r="G55" s="2063"/>
      <c r="H55" s="2063"/>
      <c r="I55" s="2063"/>
      <c r="J55" s="2063"/>
      <c r="K55" s="2063"/>
      <c r="L55" s="2495"/>
      <c r="M55" s="2431"/>
      <c r="N55" s="2513" t="s">
        <v>1376</v>
      </c>
      <c r="O55" s="2514"/>
      <c r="P55" s="2515"/>
      <c r="Q55" s="2524">
        <f t="shared" ref="Q55:X55" si="44">+Q54*$C$3/1000</f>
        <v>26.220576426209178</v>
      </c>
      <c r="R55" s="2524">
        <f t="shared" si="44"/>
        <v>25.18790186897958</v>
      </c>
      <c r="S55" s="2524">
        <f t="shared" si="44"/>
        <v>25.18790186897958</v>
      </c>
      <c r="T55" s="2524">
        <f t="shared" si="44"/>
        <v>25.18790186897958</v>
      </c>
      <c r="U55" s="2524">
        <f t="shared" si="44"/>
        <v>25.18790186897958</v>
      </c>
      <c r="V55" s="2524">
        <f t="shared" si="44"/>
        <v>25.18790186897958</v>
      </c>
      <c r="W55" s="2524">
        <f t="shared" si="44"/>
        <v>25.18790186897958</v>
      </c>
      <c r="X55" s="2524">
        <f t="shared" si="44"/>
        <v>25.18790186897958</v>
      </c>
      <c r="Y55" s="2062" t="s">
        <v>1322</v>
      </c>
      <c r="Z55" s="2063"/>
      <c r="AA55" s="2433"/>
      <c r="AB55" s="2062"/>
      <c r="AC55" s="2509" t="s">
        <v>1249</v>
      </c>
      <c r="AD55" s="2449">
        <f>+D$97*'CO2 - Destinação'!E17</f>
        <v>0</v>
      </c>
      <c r="AE55" s="2449">
        <f>+E$97*'CO2 - Destinação'!G17</f>
        <v>0</v>
      </c>
      <c r="AF55" s="2449">
        <f>+F$97*'CO2 - Destinação'!H17</f>
        <v>0</v>
      </c>
      <c r="AG55" s="2449">
        <f>+G$97*'CO2 - Destinação'!I17</f>
        <v>0</v>
      </c>
      <c r="AH55" s="2449">
        <f>+H$97*'CO2 - Destinação'!J17</f>
        <v>0</v>
      </c>
      <c r="AI55" s="2449">
        <f>+I$97*'CO2 - Destinação'!K17</f>
        <v>91890.779399999985</v>
      </c>
      <c r="AJ55" s="2449">
        <f>+J$97*'CO2 - Destinação'!L17</f>
        <v>0</v>
      </c>
      <c r="AK55" s="2449">
        <f>+K$97*'CO2 - Destinação'!M17</f>
        <v>0</v>
      </c>
    </row>
    <row r="56" spans="1:37" ht="18" customHeight="1" x14ac:dyDescent="0.2">
      <c r="A56" s="2437"/>
      <c r="B56" s="2448" t="s">
        <v>1116</v>
      </c>
      <c r="C56" s="2503">
        <f>+'CO2 - Início'!E45</f>
        <v>7.3000000000000001E-3</v>
      </c>
      <c r="D56" s="2449">
        <f t="shared" si="40"/>
        <v>1065.8</v>
      </c>
      <c r="E56" s="2063"/>
      <c r="F56" s="2063"/>
      <c r="G56" s="2063"/>
      <c r="H56" s="2063"/>
      <c r="I56" s="2063"/>
      <c r="J56" s="2063"/>
      <c r="K56" s="2063"/>
      <c r="L56" s="2495"/>
      <c r="M56" s="2431"/>
      <c r="N56" s="2513" t="s">
        <v>1377</v>
      </c>
      <c r="O56" s="2525"/>
      <c r="P56" s="2515"/>
      <c r="Q56" s="2524">
        <f>+Q53*'CO2 - Destinação'!E59</f>
        <v>0</v>
      </c>
      <c r="R56" s="2524">
        <f>+R53*'CO2 - Destinação'!G59</f>
        <v>0</v>
      </c>
      <c r="S56" s="2524">
        <f>+S53*'CO2 - Destinação'!H59</f>
        <v>0</v>
      </c>
      <c r="T56" s="2524">
        <f>+T53*'CO2 - Destinação'!I59</f>
        <v>0</v>
      </c>
      <c r="U56" s="2524">
        <f>+U53*'CO2 - Destinação'!J59</f>
        <v>0</v>
      </c>
      <c r="V56" s="2524">
        <f>+V53*'CO2 - Destinação'!K59</f>
        <v>0</v>
      </c>
      <c r="W56" s="2524">
        <f>+W53*'CO2 - Destinação'!L59</f>
        <v>0</v>
      </c>
      <c r="X56" s="2524">
        <f>+X53*'CO2 - Destinação'!M59</f>
        <v>0</v>
      </c>
      <c r="Y56" s="2062" t="s">
        <v>1358</v>
      </c>
      <c r="Z56" s="2063"/>
      <c r="AA56" s="2433"/>
      <c r="AB56" s="2063"/>
      <c r="AC56" s="2509" t="s">
        <v>63</v>
      </c>
      <c r="AD56" s="2449">
        <f>+D$97*'CO2 - Destinação'!E19</f>
        <v>0</v>
      </c>
      <c r="AE56" s="2449">
        <f>+E$97*'CO2 - Destinação'!G19</f>
        <v>0</v>
      </c>
      <c r="AF56" s="2449">
        <f>+F$97*'CO2 - Destinação'!H19</f>
        <v>0</v>
      </c>
      <c r="AG56" s="2449">
        <f>+G$97*'CO2 - Destinação'!I19</f>
        <v>0</v>
      </c>
      <c r="AH56" s="2449">
        <f>+H$97*'CO2 - Destinação'!J19</f>
        <v>0</v>
      </c>
      <c r="AI56" s="2449">
        <f>+I$97*'CO2 - Destinação'!K19</f>
        <v>0</v>
      </c>
      <c r="AJ56" s="2449">
        <f>+J$97*'CO2 - Destinação'!L19</f>
        <v>111581.66069999998</v>
      </c>
      <c r="AK56" s="2449">
        <f>+K$97*'CO2 - Destinação'!M19</f>
        <v>111581.66069999998</v>
      </c>
    </row>
    <row r="57" spans="1:37" ht="18" customHeight="1" x14ac:dyDescent="0.2">
      <c r="A57" s="2437"/>
      <c r="B57" s="2448" t="s">
        <v>1117</v>
      </c>
      <c r="C57" s="2503">
        <f>+'CO2 - Início'!E46</f>
        <v>0</v>
      </c>
      <c r="D57" s="2449">
        <f t="shared" si="40"/>
        <v>0</v>
      </c>
      <c r="E57" s="2063"/>
      <c r="F57" s="2063"/>
      <c r="G57" s="2063"/>
      <c r="H57" s="2063"/>
      <c r="I57" s="2063"/>
      <c r="J57" s="2063"/>
      <c r="K57" s="2063"/>
      <c r="L57" s="2495"/>
      <c r="M57" s="2431"/>
      <c r="N57" s="2513" t="s">
        <v>1378</v>
      </c>
      <c r="O57" s="2514"/>
      <c r="P57" s="2515"/>
      <c r="Q57" s="2524">
        <f t="shared" ref="Q57:X57" si="45">+Q56*$C$4/1000</f>
        <v>0</v>
      </c>
      <c r="R57" s="2524">
        <f t="shared" si="45"/>
        <v>0</v>
      </c>
      <c r="S57" s="2524">
        <f t="shared" si="45"/>
        <v>0</v>
      </c>
      <c r="T57" s="2524">
        <f t="shared" si="45"/>
        <v>0</v>
      </c>
      <c r="U57" s="2524">
        <f t="shared" si="45"/>
        <v>0</v>
      </c>
      <c r="V57" s="2524">
        <f t="shared" si="45"/>
        <v>0</v>
      </c>
      <c r="W57" s="2524">
        <f t="shared" si="45"/>
        <v>0</v>
      </c>
      <c r="X57" s="2524">
        <f t="shared" si="45"/>
        <v>0</v>
      </c>
      <c r="Y57" s="2062" t="s">
        <v>1322</v>
      </c>
      <c r="Z57" s="2063"/>
      <c r="AA57" s="2433"/>
      <c r="AB57" s="2063"/>
      <c r="AC57" s="2507" t="s">
        <v>1379</v>
      </c>
      <c r="AD57" s="2375">
        <f t="shared" ref="AD57:AJ57" si="46">SUM(AD47:AD56)</f>
        <v>141269.6</v>
      </c>
      <c r="AE57" s="2375">
        <f t="shared" si="46"/>
        <v>131272.54199999999</v>
      </c>
      <c r="AF57" s="2375">
        <f t="shared" ref="AF57" si="47">SUM(AF47:AF56)</f>
        <v>131272.54199999999</v>
      </c>
      <c r="AG57" s="2375">
        <f t="shared" si="46"/>
        <v>131272.54199999999</v>
      </c>
      <c r="AH57" s="2375">
        <f t="shared" si="46"/>
        <v>131272.54199999999</v>
      </c>
      <c r="AI57" s="2375">
        <f t="shared" si="46"/>
        <v>131272.54199999999</v>
      </c>
      <c r="AJ57" s="2375">
        <f t="shared" si="46"/>
        <v>131272.54199999999</v>
      </c>
      <c r="AK57" s="2375">
        <f t="shared" ref="AK57" si="48">SUM(AK47:AK56)</f>
        <v>131272.54199999999</v>
      </c>
    </row>
    <row r="58" spans="1:37" ht="18" customHeight="1" x14ac:dyDescent="0.2">
      <c r="A58" s="2437"/>
      <c r="B58" s="2448" t="s">
        <v>1118</v>
      </c>
      <c r="C58" s="2503">
        <f>+'CO2 - Início'!E47</f>
        <v>6.5600000000000019E-2</v>
      </c>
      <c r="D58" s="2449">
        <f t="shared" si="40"/>
        <v>9577.6000000000022</v>
      </c>
      <c r="E58" s="2063"/>
      <c r="F58" s="2063"/>
      <c r="G58" s="2063"/>
      <c r="H58" s="2063"/>
      <c r="I58" s="2063"/>
      <c r="J58" s="2063"/>
      <c r="K58" s="2063"/>
      <c r="L58" s="2495"/>
      <c r="M58" s="2431"/>
      <c r="N58" s="2526" t="s">
        <v>1380</v>
      </c>
      <c r="O58" s="2514"/>
      <c r="P58" s="2515"/>
      <c r="Q58" s="2522">
        <f t="shared" ref="Q58:X58" si="49">+Q55+Q57</f>
        <v>26.220576426209178</v>
      </c>
      <c r="R58" s="2522">
        <f t="shared" si="49"/>
        <v>25.18790186897958</v>
      </c>
      <c r="S58" s="2522">
        <f t="shared" si="49"/>
        <v>25.18790186897958</v>
      </c>
      <c r="T58" s="2522">
        <f t="shared" si="49"/>
        <v>25.18790186897958</v>
      </c>
      <c r="U58" s="2522">
        <f t="shared" si="49"/>
        <v>25.18790186897958</v>
      </c>
      <c r="V58" s="2522">
        <f t="shared" si="49"/>
        <v>25.18790186897958</v>
      </c>
      <c r="W58" s="2522">
        <f t="shared" si="49"/>
        <v>25.18790186897958</v>
      </c>
      <c r="X58" s="2522">
        <f t="shared" si="49"/>
        <v>25.18790186897958</v>
      </c>
      <c r="Y58" s="2471" t="s">
        <v>1322</v>
      </c>
      <c r="Z58" s="2063"/>
      <c r="AA58" s="2433"/>
      <c r="AB58" s="2063"/>
      <c r="AC58" s="2527" t="s">
        <v>1381</v>
      </c>
      <c r="AD58" s="2528">
        <f t="shared" ref="AD58:AK58" si="50">+AD57+AD13</f>
        <v>146000</v>
      </c>
      <c r="AE58" s="2528">
        <f t="shared" si="50"/>
        <v>146000</v>
      </c>
      <c r="AF58" s="2528">
        <f t="shared" si="50"/>
        <v>146000</v>
      </c>
      <c r="AG58" s="2528">
        <f t="shared" si="50"/>
        <v>146000</v>
      </c>
      <c r="AH58" s="2528">
        <f t="shared" si="50"/>
        <v>146000</v>
      </c>
      <c r="AI58" s="2528">
        <f t="shared" si="50"/>
        <v>146000</v>
      </c>
      <c r="AJ58" s="2528">
        <f t="shared" si="50"/>
        <v>146000</v>
      </c>
      <c r="AK58" s="2528">
        <f t="shared" si="50"/>
        <v>146000</v>
      </c>
    </row>
    <row r="59" spans="1:37" ht="18" customHeight="1" x14ac:dyDescent="0.2">
      <c r="A59" s="2437"/>
      <c r="B59" s="2529" t="s">
        <v>1382</v>
      </c>
      <c r="C59" s="2530">
        <f>SUM(C46:C58)</f>
        <v>1.0000000000000002</v>
      </c>
      <c r="D59" s="2305">
        <f>SUM(D46:D58)</f>
        <v>146000</v>
      </c>
      <c r="E59" s="2063"/>
      <c r="F59" s="2063"/>
      <c r="G59" s="2063"/>
      <c r="H59" s="2063"/>
      <c r="I59" s="2063"/>
      <c r="J59" s="2063"/>
      <c r="K59" s="2063"/>
      <c r="L59" s="2495"/>
      <c r="M59" s="2431"/>
      <c r="N59" s="2063"/>
      <c r="O59" s="2063"/>
      <c r="P59" s="2063"/>
      <c r="Q59" s="2063"/>
      <c r="R59" s="2063"/>
      <c r="S59" s="2063"/>
      <c r="T59" s="2063"/>
      <c r="U59" s="2063"/>
      <c r="V59" s="2063"/>
      <c r="W59" s="2063"/>
      <c r="X59" s="2063"/>
      <c r="Y59" s="2063"/>
      <c r="Z59" s="2063"/>
      <c r="AA59" s="2433"/>
      <c r="AB59" s="2063"/>
      <c r="AC59" s="2531"/>
      <c r="AD59" s="2532" t="str">
        <f t="shared" ref="AD59:AK59" si="51">IF(AD58=$D$44,"correto","errado")</f>
        <v>correto</v>
      </c>
      <c r="AE59" s="2532" t="str">
        <f t="shared" si="51"/>
        <v>correto</v>
      </c>
      <c r="AF59" s="2532" t="str">
        <f t="shared" si="51"/>
        <v>correto</v>
      </c>
      <c r="AG59" s="2532" t="str">
        <f t="shared" si="51"/>
        <v>correto</v>
      </c>
      <c r="AH59" s="2532" t="str">
        <f t="shared" si="51"/>
        <v>correto</v>
      </c>
      <c r="AI59" s="2532" t="str">
        <f t="shared" si="51"/>
        <v>correto</v>
      </c>
      <c r="AJ59" s="2532" t="str">
        <f t="shared" si="51"/>
        <v>correto</v>
      </c>
      <c r="AK59" s="2532" t="str">
        <f t="shared" si="51"/>
        <v>correto</v>
      </c>
    </row>
    <row r="60" spans="1:37" ht="18" customHeight="1" x14ac:dyDescent="0.2">
      <c r="A60" s="2437"/>
      <c r="B60" s="2063"/>
      <c r="C60" s="2063"/>
      <c r="D60" s="2063"/>
      <c r="E60" s="2063"/>
      <c r="F60" s="2063"/>
      <c r="G60" s="2063"/>
      <c r="H60" s="2063"/>
      <c r="I60" s="2063"/>
      <c r="J60" s="2063"/>
      <c r="K60" s="2063"/>
      <c r="L60" s="2495"/>
      <c r="M60" s="2431"/>
      <c r="N60" s="2533" t="s">
        <v>1201</v>
      </c>
      <c r="O60" s="2534"/>
      <c r="P60" s="2535"/>
      <c r="Q60" s="2063"/>
      <c r="R60" s="2063"/>
      <c r="S60" s="2063"/>
      <c r="T60" s="2063"/>
      <c r="U60" s="2063"/>
      <c r="V60" s="2063"/>
      <c r="W60" s="2063"/>
      <c r="X60" s="2063"/>
      <c r="Y60" s="2063"/>
      <c r="Z60" s="2063"/>
      <c r="AA60" s="2433"/>
      <c r="AB60" s="2063"/>
      <c r="AC60" s="2536" t="s">
        <v>1251</v>
      </c>
      <c r="AD60" s="2471" t="s">
        <v>1315</v>
      </c>
      <c r="AE60" s="2062"/>
      <c r="AF60" s="2062"/>
      <c r="AG60" s="2062"/>
      <c r="AH60" s="2062"/>
      <c r="AI60" s="2062"/>
      <c r="AJ60" s="2062"/>
      <c r="AK60" s="2062"/>
    </row>
    <row r="61" spans="1:37" ht="18" customHeight="1" x14ac:dyDescent="0.2">
      <c r="A61" s="2437"/>
      <c r="B61" s="2529" t="s">
        <v>1383</v>
      </c>
      <c r="C61" s="2197"/>
      <c r="D61" s="2063"/>
      <c r="E61" s="2063"/>
      <c r="F61" s="2063"/>
      <c r="G61" s="2063"/>
      <c r="H61" s="2063"/>
      <c r="I61" s="2063"/>
      <c r="J61" s="2063"/>
      <c r="K61" s="2063"/>
      <c r="L61" s="2495"/>
      <c r="M61" s="2431"/>
      <c r="N61" s="2537" t="s">
        <v>1384</v>
      </c>
      <c r="O61" s="2538"/>
      <c r="P61" s="2539"/>
      <c r="Q61" s="2062"/>
      <c r="R61" s="2062"/>
      <c r="S61" s="2062"/>
      <c r="T61" s="2062"/>
      <c r="U61" s="2062"/>
      <c r="V61" s="2062"/>
      <c r="W61" s="2062"/>
      <c r="X61" s="2062"/>
      <c r="Y61" s="2062"/>
      <c r="Z61" s="2062"/>
      <c r="AA61" s="2433"/>
      <c r="AB61" s="2063"/>
      <c r="AC61" s="2448" t="str">
        <f>+AC47</f>
        <v>Resíduos dispersos</v>
      </c>
      <c r="AD61" s="2449">
        <v>0</v>
      </c>
      <c r="AE61" s="2449">
        <v>0</v>
      </c>
      <c r="AF61" s="2449">
        <v>0</v>
      </c>
      <c r="AG61" s="2449">
        <v>0</v>
      </c>
      <c r="AH61" s="2449">
        <v>0</v>
      </c>
      <c r="AI61" s="2449">
        <v>0</v>
      </c>
      <c r="AJ61" s="2449">
        <v>0</v>
      </c>
      <c r="AK61" s="2449">
        <v>0</v>
      </c>
    </row>
    <row r="62" spans="1:37" ht="18" customHeight="1" x14ac:dyDescent="0.2">
      <c r="A62" s="2437"/>
      <c r="B62" s="2448" t="s">
        <v>1385</v>
      </c>
      <c r="C62" s="2474">
        <f>+C46*C11+C47*C12+C48*C13+C49*C14+C50*C15+C51*C16+C52*C17+C53*C18+C54*C19+C55*C20+C56*C21+C57*C22+C58*C23</f>
        <v>0.27421050000000002</v>
      </c>
      <c r="D62" s="2062" t="s">
        <v>1304</v>
      </c>
      <c r="E62" s="2063"/>
      <c r="F62" s="2063"/>
      <c r="G62" s="2063"/>
      <c r="H62" s="2063"/>
      <c r="I62" s="2063"/>
      <c r="J62" s="2063"/>
      <c r="K62" s="2063"/>
      <c r="L62" s="2495"/>
      <c r="M62" s="2431"/>
      <c r="N62" s="2540" t="s">
        <v>1386</v>
      </c>
      <c r="O62" s="2541"/>
      <c r="P62" s="2539"/>
      <c r="Q62" s="2542">
        <v>0.35</v>
      </c>
      <c r="R62" s="2542">
        <v>0.35</v>
      </c>
      <c r="S62" s="2542">
        <v>0.35</v>
      </c>
      <c r="T62" s="2542">
        <v>0.35</v>
      </c>
      <c r="U62" s="2542">
        <v>0.35</v>
      </c>
      <c r="V62" s="2542">
        <v>0.35</v>
      </c>
      <c r="W62" s="2542">
        <v>0.35</v>
      </c>
      <c r="X62" s="2542">
        <v>0.35</v>
      </c>
      <c r="Y62" s="2062" t="s">
        <v>1328</v>
      </c>
      <c r="Z62" s="2063"/>
      <c r="AA62" s="2433"/>
      <c r="AB62" s="2063"/>
      <c r="AC62" s="2448" t="str">
        <f>+AC48</f>
        <v>Queima a céu aberto</v>
      </c>
      <c r="AD62" s="2449">
        <f>+AD48*Q20/1000</f>
        <v>0</v>
      </c>
      <c r="AE62" s="2449">
        <f>+AE48*R20/1000</f>
        <v>0</v>
      </c>
      <c r="AF62" s="2449">
        <f>+AF48*T20/1000</f>
        <v>0</v>
      </c>
      <c r="AG62" s="2449">
        <f>+AG48*U20/1000</f>
        <v>0</v>
      </c>
      <c r="AH62" s="2449">
        <f>+AH48*U20/1000</f>
        <v>0</v>
      </c>
      <c r="AI62" s="2449">
        <f>+AI48*V20/1000</f>
        <v>0</v>
      </c>
      <c r="AJ62" s="2449">
        <f>+AJ48*W20/1000</f>
        <v>0</v>
      </c>
      <c r="AK62" s="2449">
        <f>+AK48*X20/1000</f>
        <v>0</v>
      </c>
    </row>
    <row r="63" spans="1:37" ht="18" customHeight="1" x14ac:dyDescent="0.2">
      <c r="A63" s="2437"/>
      <c r="B63" s="2448" t="s">
        <v>1387</v>
      </c>
      <c r="C63" s="2474">
        <f>+C46*C11*D11+C47*C12*D12+C48*C13*D13+C49*C14*D14+C50*C15*D15+C51*C16*D16+C52*C17*D17+C53*C18*D18+C54*C19*D19+C55*C20*D20+C56*C21*D21+C57*C22*D22+C58*C23*D23</f>
        <v>0.10932450000000002</v>
      </c>
      <c r="D63" s="2062" t="s">
        <v>1304</v>
      </c>
      <c r="E63" s="2063"/>
      <c r="F63" s="2063"/>
      <c r="G63" s="2063"/>
      <c r="H63" s="2063"/>
      <c r="I63" s="2063"/>
      <c r="J63" s="2063"/>
      <c r="K63" s="2063"/>
      <c r="L63" s="2495"/>
      <c r="M63" s="2431"/>
      <c r="N63" s="2540" t="s">
        <v>1388</v>
      </c>
      <c r="O63" s="2534"/>
      <c r="P63" s="2535"/>
      <c r="Q63" s="2543">
        <f t="shared" ref="Q63:X63" si="52">0.82*28+0.045*265</f>
        <v>34.884999999999998</v>
      </c>
      <c r="R63" s="2543">
        <f t="shared" si="52"/>
        <v>34.884999999999998</v>
      </c>
      <c r="S63" s="2543">
        <f t="shared" si="52"/>
        <v>34.884999999999998</v>
      </c>
      <c r="T63" s="2543">
        <f t="shared" si="52"/>
        <v>34.884999999999998</v>
      </c>
      <c r="U63" s="2543">
        <f t="shared" si="52"/>
        <v>34.884999999999998</v>
      </c>
      <c r="V63" s="2543">
        <f t="shared" si="52"/>
        <v>34.884999999999998</v>
      </c>
      <c r="W63" s="2543">
        <f t="shared" si="52"/>
        <v>34.884999999999998</v>
      </c>
      <c r="X63" s="2543">
        <f t="shared" si="52"/>
        <v>34.884999999999998</v>
      </c>
      <c r="Y63" s="2062" t="s">
        <v>1322</v>
      </c>
      <c r="Z63" s="2062"/>
      <c r="AA63" s="2433"/>
      <c r="AB63" s="2063"/>
      <c r="AC63" s="2448" t="str">
        <f>+AC49</f>
        <v>Lixão não controlado</v>
      </c>
      <c r="AD63" s="2449">
        <f>+AD49*Q30/1000*0.4</f>
        <v>0</v>
      </c>
      <c r="AE63" s="2449">
        <f>+AE49*R30/1000*0.4</f>
        <v>0</v>
      </c>
      <c r="AF63" s="2449">
        <f>+AF49*T30/1000*0.4</f>
        <v>0</v>
      </c>
      <c r="AG63" s="2449">
        <f>+AG49*U30/1000*0.4</f>
        <v>0</v>
      </c>
      <c r="AH63" s="2449">
        <f>+AH49*U30/1000*0.4</f>
        <v>0</v>
      </c>
      <c r="AI63" s="2449">
        <f>+AI49*V30/1000*0.4</f>
        <v>0</v>
      </c>
      <c r="AJ63" s="2449">
        <f>+AJ49*W30/1000*0.4</f>
        <v>0</v>
      </c>
      <c r="AK63" s="2449">
        <f>+AK49*X30/1000*0.4</f>
        <v>0</v>
      </c>
    </row>
    <row r="64" spans="1:37" ht="18" customHeight="1" x14ac:dyDescent="0.2">
      <c r="A64" s="2437"/>
      <c r="B64" s="2448" t="s">
        <v>1389</v>
      </c>
      <c r="C64" s="2465">
        <f>+C62-C63</f>
        <v>0.164886</v>
      </c>
      <c r="D64" s="2062" t="s">
        <v>1304</v>
      </c>
      <c r="E64" s="2063"/>
      <c r="F64" s="2063"/>
      <c r="G64" s="2063"/>
      <c r="H64" s="2063"/>
      <c r="I64" s="2063"/>
      <c r="J64" s="2063"/>
      <c r="K64" s="2063"/>
      <c r="L64" s="2495"/>
      <c r="M64" s="2431"/>
      <c r="N64" s="2540" t="s">
        <v>1390</v>
      </c>
      <c r="O64" s="2541"/>
      <c r="P64" s="2539"/>
      <c r="Q64" s="2544">
        <v>5</v>
      </c>
      <c r="R64" s="2544">
        <v>5</v>
      </c>
      <c r="S64" s="2544">
        <v>5</v>
      </c>
      <c r="T64" s="2544">
        <v>5</v>
      </c>
      <c r="U64" s="2544">
        <v>5</v>
      </c>
      <c r="V64" s="2544">
        <v>5</v>
      </c>
      <c r="W64" s="2544">
        <v>5</v>
      </c>
      <c r="X64" s="2544">
        <v>5</v>
      </c>
      <c r="Y64" s="2062" t="s">
        <v>1391</v>
      </c>
      <c r="Z64" s="2063"/>
      <c r="AA64" s="2433"/>
      <c r="AB64" s="2063"/>
      <c r="AC64" s="2448" t="str">
        <f>+AC50</f>
        <v>Aterro controlado</v>
      </c>
      <c r="AD64" s="2449">
        <f>+AD50*Q30/1000*0.8</f>
        <v>0</v>
      </c>
      <c r="AE64" s="2449">
        <f>+AE50*R30/1000*0.8</f>
        <v>0</v>
      </c>
      <c r="AF64" s="2449">
        <f>+AF50*T30/1000*0.8</f>
        <v>0</v>
      </c>
      <c r="AG64" s="2449">
        <f>+AG50*U30/1000*0.8</f>
        <v>0</v>
      </c>
      <c r="AH64" s="2449">
        <f>+AH50*U30/1000*0.8</f>
        <v>0</v>
      </c>
      <c r="AI64" s="2449">
        <f>+AI50*V30/1000*0.8</f>
        <v>52922.54492561012</v>
      </c>
      <c r="AJ64" s="2449">
        <f>+AJ50*W30/1000*0.8</f>
        <v>26461.27246280506</v>
      </c>
      <c r="AK64" s="2449">
        <f>+AK50*X30/1000*0.8</f>
        <v>26461.27246280506</v>
      </c>
    </row>
    <row r="65" spans="1:37" ht="18" customHeight="1" x14ac:dyDescent="0.2">
      <c r="A65" s="2437"/>
      <c r="B65" s="2063"/>
      <c r="C65" s="2063"/>
      <c r="D65" s="2063"/>
      <c r="E65" s="2063"/>
      <c r="F65" s="2063"/>
      <c r="G65" s="2063"/>
      <c r="H65" s="2063"/>
      <c r="I65" s="2063"/>
      <c r="J65" s="2063"/>
      <c r="K65" s="2063"/>
      <c r="L65" s="2495"/>
      <c r="M65" s="2431"/>
      <c r="N65" s="2540" t="s">
        <v>1392</v>
      </c>
      <c r="O65" s="2545"/>
      <c r="P65" s="2539"/>
      <c r="Q65" s="2544">
        <f>+Q64*$C$3/1000</f>
        <v>0.3795</v>
      </c>
      <c r="R65" s="2544">
        <f t="shared" ref="R65:X65" si="53">+R64*$C$3/1000</f>
        <v>0.3795</v>
      </c>
      <c r="S65" s="2544">
        <f t="shared" si="53"/>
        <v>0.3795</v>
      </c>
      <c r="T65" s="2544">
        <f t="shared" si="53"/>
        <v>0.3795</v>
      </c>
      <c r="U65" s="2544">
        <f t="shared" si="53"/>
        <v>0.3795</v>
      </c>
      <c r="V65" s="2544">
        <f t="shared" si="53"/>
        <v>0.3795</v>
      </c>
      <c r="W65" s="2544">
        <f t="shared" si="53"/>
        <v>0.3795</v>
      </c>
      <c r="X65" s="2544">
        <f t="shared" si="53"/>
        <v>0.3795</v>
      </c>
      <c r="Y65" s="2062" t="s">
        <v>1322</v>
      </c>
      <c r="Z65" s="2062"/>
      <c r="AA65" s="2433"/>
      <c r="AB65" s="2063"/>
      <c r="AC65" s="2448" t="str">
        <f>+AC51</f>
        <v>Aterro sanitário</v>
      </c>
      <c r="AD65" s="2449">
        <f>+AD51*Q46/1000</f>
        <v>167352.43851908133</v>
      </c>
      <c r="AE65" s="2449">
        <f>+AE51*R46/1000</f>
        <v>53980.946707938478</v>
      </c>
      <c r="AF65" s="2449">
        <f>+AF51*T46/1000</f>
        <v>53980.946707938478</v>
      </c>
      <c r="AG65" s="2449">
        <f>+AG51*U46/1000</f>
        <v>53980.946707938478</v>
      </c>
      <c r="AH65" s="2449">
        <f>+AH51*U46/1000</f>
        <v>57836.728615648368</v>
      </c>
      <c r="AI65" s="2449">
        <f>+AI51*V46/1000</f>
        <v>0</v>
      </c>
      <c r="AJ65" s="2449">
        <f>+AJ51*W46/1000</f>
        <v>0</v>
      </c>
      <c r="AK65" s="2449">
        <f>+AK51*X46/1000</f>
        <v>0</v>
      </c>
    </row>
    <row r="66" spans="1:37" ht="18" customHeight="1" x14ac:dyDescent="0.2">
      <c r="A66" s="2063"/>
      <c r="B66" s="2529" t="s">
        <v>1393</v>
      </c>
      <c r="C66" s="2197"/>
      <c r="D66" s="2063"/>
      <c r="E66" s="2063"/>
      <c r="F66" s="2063"/>
      <c r="G66" s="2063"/>
      <c r="H66" s="2063"/>
      <c r="I66" s="2063"/>
      <c r="J66" s="2063"/>
      <c r="K66" s="2063"/>
      <c r="L66" s="2063"/>
      <c r="M66" s="2431"/>
      <c r="N66" s="2540" t="s">
        <v>1394</v>
      </c>
      <c r="O66" s="2541"/>
      <c r="P66" s="2539"/>
      <c r="Q66" s="2544">
        <f>Q63+Q65</f>
        <v>35.264499999999998</v>
      </c>
      <c r="R66" s="2544">
        <f t="shared" ref="R66:X66" si="54">R63+R65</f>
        <v>35.264499999999998</v>
      </c>
      <c r="S66" s="2544">
        <f t="shared" si="54"/>
        <v>35.264499999999998</v>
      </c>
      <c r="T66" s="2544">
        <f t="shared" si="54"/>
        <v>35.264499999999998</v>
      </c>
      <c r="U66" s="2544">
        <f t="shared" si="54"/>
        <v>35.264499999999998</v>
      </c>
      <c r="V66" s="2544">
        <f t="shared" si="54"/>
        <v>35.264499999999998</v>
      </c>
      <c r="W66" s="2544">
        <f t="shared" si="54"/>
        <v>35.264499999999998</v>
      </c>
      <c r="X66" s="2544">
        <f t="shared" si="54"/>
        <v>35.264499999999998</v>
      </c>
      <c r="Y66" s="2062" t="s">
        <v>1322</v>
      </c>
      <c r="Z66" s="2062"/>
      <c r="AA66" s="2433"/>
      <c r="AB66" s="2063"/>
      <c r="AC66" s="2448" t="str">
        <f t="shared" ref="AC66:AC69" si="55">+AC52</f>
        <v>Trat. biol + cobertura at.</v>
      </c>
      <c r="AD66" s="2449">
        <f>+AD52*Q86/1000</f>
        <v>0</v>
      </c>
      <c r="AE66" s="2449">
        <f>+AE52*R86/1000</f>
        <v>0</v>
      </c>
      <c r="AF66" s="2449">
        <f>+AF52*T86/1000</f>
        <v>0</v>
      </c>
      <c r="AG66" s="2449">
        <f>+AG52*U86/1000</f>
        <v>0</v>
      </c>
      <c r="AH66" s="2449">
        <f>+AH52*U86/1000</f>
        <v>2893.2878483493746</v>
      </c>
      <c r="AI66" s="2449">
        <f>+AI52*V86/1000</f>
        <v>0</v>
      </c>
      <c r="AJ66" s="2449">
        <f>+AJ52*W86/1000</f>
        <v>0</v>
      </c>
      <c r="AK66" s="2449">
        <f>+AK52*X86/1000</f>
        <v>0</v>
      </c>
    </row>
    <row r="67" spans="1:37" ht="18" customHeight="1" x14ac:dyDescent="0.2">
      <c r="A67" s="2063"/>
      <c r="B67" s="2448" t="s">
        <v>1395</v>
      </c>
      <c r="C67" s="2546">
        <f>+((C46+C47)*$C$29+C48*$C$31+C49*$C$32+C50*$C$33+(C51+C52)*$C$34+(C53+C54+C55)*$C$35+C56*$C$36+C57*$C$37+C58*$C$38)*'CO2 - Início'!$E$55</f>
        <v>0</v>
      </c>
      <c r="D67" s="2062" t="s">
        <v>1396</v>
      </c>
      <c r="E67" s="2063"/>
      <c r="F67" s="2063"/>
      <c r="G67" s="2063"/>
      <c r="H67" s="2063"/>
      <c r="I67" s="2063"/>
      <c r="J67" s="2063"/>
      <c r="K67" s="2063"/>
      <c r="L67" s="2063"/>
      <c r="M67" s="2431"/>
      <c r="N67" s="2537" t="s">
        <v>1397</v>
      </c>
      <c r="O67" s="2541"/>
      <c r="P67" s="2539"/>
      <c r="Q67" s="2547"/>
      <c r="R67" s="2547"/>
      <c r="S67" s="2547"/>
      <c r="T67" s="2547"/>
      <c r="U67" s="2547"/>
      <c r="V67" s="2547"/>
      <c r="W67" s="2547"/>
      <c r="X67" s="2547"/>
      <c r="Y67" s="2062"/>
      <c r="Z67" s="2062"/>
      <c r="AA67" s="2433"/>
      <c r="AB67" s="2063"/>
      <c r="AC67" s="2448" t="str">
        <f t="shared" si="55"/>
        <v>CDR seco + rejeito aterro</v>
      </c>
      <c r="AD67" s="2449">
        <f>+AD53*Q96/1000</f>
        <v>0</v>
      </c>
      <c r="AE67" s="2449">
        <f>+AE53*R96/1000</f>
        <v>9878.871077030024</v>
      </c>
      <c r="AF67" s="2449">
        <f>+AF53*T96/1000</f>
        <v>9878.871077030024</v>
      </c>
      <c r="AG67" s="2449">
        <f>+AG53*U96/1000</f>
        <v>9878.871077030024</v>
      </c>
      <c r="AH67" s="2449">
        <f>+AH53*U96/1000</f>
        <v>0</v>
      </c>
      <c r="AI67" s="2449">
        <f>+AI53*V96/1000</f>
        <v>0</v>
      </c>
      <c r="AJ67" s="2449">
        <f>+AJ53*W96/1000</f>
        <v>0</v>
      </c>
      <c r="AK67" s="2449">
        <f>+AK53*X96/1000</f>
        <v>0</v>
      </c>
    </row>
    <row r="68" spans="1:37" ht="18" customHeight="1" x14ac:dyDescent="0.2">
      <c r="A68" s="2063"/>
      <c r="B68" s="2448" t="s">
        <v>1398</v>
      </c>
      <c r="C68" s="2446">
        <f>+((C46+C47)*$C$30+C48*$C$31+C49*$C$32+C50*$C$33+C51*$C$34+(C53+C54+C55)*$C$35+C56*$C$36+C57*$C$37+C58*$C$39)*'CO2 - Início'!$E$56</f>
        <v>8.5983600000000013</v>
      </c>
      <c r="D68" s="2062" t="s">
        <v>1396</v>
      </c>
      <c r="E68" s="2063"/>
      <c r="F68" s="2063"/>
      <c r="G68" s="2063"/>
      <c r="H68" s="2063"/>
      <c r="I68" s="2063"/>
      <c r="J68" s="2063"/>
      <c r="K68" s="2063"/>
      <c r="L68" s="2063"/>
      <c r="M68" s="2431"/>
      <c r="N68" s="2540" t="s">
        <v>1399</v>
      </c>
      <c r="O68" s="2541"/>
      <c r="P68" s="2539"/>
      <c r="Q68" s="2542">
        <f>Q62</f>
        <v>0.35</v>
      </c>
      <c r="R68" s="2542">
        <f t="shared" ref="R68:X68" si="56">R62</f>
        <v>0.35</v>
      </c>
      <c r="S68" s="2542">
        <f t="shared" si="56"/>
        <v>0.35</v>
      </c>
      <c r="T68" s="2542">
        <f t="shared" si="56"/>
        <v>0.35</v>
      </c>
      <c r="U68" s="2542">
        <f t="shared" si="56"/>
        <v>0.35</v>
      </c>
      <c r="V68" s="2542">
        <f t="shared" si="56"/>
        <v>0.35</v>
      </c>
      <c r="W68" s="2542">
        <f t="shared" si="56"/>
        <v>0.35</v>
      </c>
      <c r="X68" s="2542">
        <f t="shared" si="56"/>
        <v>0.35</v>
      </c>
      <c r="Y68" s="2062" t="s">
        <v>1328</v>
      </c>
      <c r="Z68" s="2062"/>
      <c r="AA68" s="2433"/>
      <c r="AB68" s="2063"/>
      <c r="AC68" s="2448" t="str">
        <f t="shared" si="55"/>
        <v>CDR seco + trat. biol.</v>
      </c>
      <c r="AD68" s="2449">
        <f>+AD54*Q131/1000</f>
        <v>0</v>
      </c>
      <c r="AE68" s="2449">
        <f>+AE54*R131/1000</f>
        <v>7289.5189941719445</v>
      </c>
      <c r="AF68" s="2449">
        <f>+AF54*T131/1000</f>
        <v>7289.5189941719445</v>
      </c>
      <c r="AG68" s="2449">
        <f>+AG54*U131/1000</f>
        <v>6937.3741446002377</v>
      </c>
      <c r="AH68" s="2449">
        <f>+AH54*U131/1000</f>
        <v>0</v>
      </c>
      <c r="AI68" s="2449">
        <f>+AI54*V131/1000</f>
        <v>0</v>
      </c>
      <c r="AJ68" s="2449">
        <f>+AJ54*W131/1000</f>
        <v>0</v>
      </c>
      <c r="AK68" s="2449">
        <f>+AK54*X131/1000</f>
        <v>0</v>
      </c>
    </row>
    <row r="69" spans="1:37" ht="18" customHeight="1" x14ac:dyDescent="0.2">
      <c r="A69" s="2063"/>
      <c r="B69" s="2063"/>
      <c r="C69" s="2063"/>
      <c r="D69" s="2063"/>
      <c r="E69" s="2063"/>
      <c r="F69" s="2063"/>
      <c r="G69" s="2063"/>
      <c r="H69" s="2063"/>
      <c r="I69" s="2063"/>
      <c r="J69" s="2063"/>
      <c r="K69" s="2063"/>
      <c r="L69" s="2063"/>
      <c r="M69" s="2431"/>
      <c r="N69" s="2540" t="s">
        <v>1400</v>
      </c>
      <c r="O69" s="2541"/>
      <c r="P69" s="2539"/>
      <c r="Q69" s="2548">
        <f>$Q$24*Q68*1868</f>
        <v>107.78431797147582</v>
      </c>
      <c r="R69" s="2548">
        <f>$R$24*R68*1868</f>
        <v>106.89587295947733</v>
      </c>
      <c r="S69" s="2548">
        <f>$R$24*S68*1868</f>
        <v>106.89587295947733</v>
      </c>
      <c r="T69" s="2548">
        <f>$R$24*T68*1868</f>
        <v>106.89587295947733</v>
      </c>
      <c r="U69" s="2548">
        <f>$U$24*U68*1868</f>
        <v>106.89587295947733</v>
      </c>
      <c r="V69" s="2548">
        <f>$V$24*V68*1868</f>
        <v>106.89587295947733</v>
      </c>
      <c r="W69" s="2548">
        <f>$V$24*W68*1868</f>
        <v>106.89587295947733</v>
      </c>
      <c r="X69" s="2548">
        <f>$V$24*X68*1868</f>
        <v>106.89587295947733</v>
      </c>
      <c r="Y69" s="2062" t="s">
        <v>1401</v>
      </c>
      <c r="Z69" s="2062"/>
      <c r="AA69" s="2433"/>
      <c r="AB69" s="2062"/>
      <c r="AC69" s="2448" t="str">
        <f t="shared" si="55"/>
        <v>CDR seco + CDR org.</v>
      </c>
      <c r="AD69" s="2449">
        <f>+AD55*Q151/1000</f>
        <v>0</v>
      </c>
      <c r="AE69" s="2449">
        <f>+AE55*R151/1000</f>
        <v>0</v>
      </c>
      <c r="AF69" s="2449">
        <f>+AF55*T151/1000</f>
        <v>0</v>
      </c>
      <c r="AG69" s="2449">
        <f>+AG55*U151/1000</f>
        <v>0</v>
      </c>
      <c r="AH69" s="2449">
        <f>+AH55*U151/1000</f>
        <v>0</v>
      </c>
      <c r="AI69" s="2449">
        <f>+AI55*V151/1000</f>
        <v>14297.711968001611</v>
      </c>
      <c r="AJ69" s="2449">
        <f>+AJ55*W151/1000</f>
        <v>0</v>
      </c>
      <c r="AK69" s="2449">
        <f>+AK55*X151/1000</f>
        <v>0</v>
      </c>
    </row>
    <row r="70" spans="1:37" ht="18" customHeight="1" x14ac:dyDescent="0.2">
      <c r="A70" s="2427" t="s">
        <v>1402</v>
      </c>
      <c r="B70" s="2428"/>
      <c r="C70" s="2428"/>
      <c r="D70" s="2428"/>
      <c r="E70" s="2428"/>
      <c r="F70" s="2428"/>
      <c r="G70" s="2428"/>
      <c r="H70" s="2428"/>
      <c r="I70" s="2428"/>
      <c r="J70" s="2428"/>
      <c r="K70" s="2428"/>
      <c r="L70" s="2455"/>
      <c r="M70" s="2431"/>
      <c r="N70" s="2540" t="s">
        <v>1403</v>
      </c>
      <c r="O70" s="2541"/>
      <c r="P70" s="2539"/>
      <c r="Q70" s="2542">
        <v>0.6</v>
      </c>
      <c r="R70" s="2542">
        <v>0.6</v>
      </c>
      <c r="S70" s="2542">
        <v>0.6</v>
      </c>
      <c r="T70" s="2542">
        <v>0.6</v>
      </c>
      <c r="U70" s="2542">
        <v>0.6</v>
      </c>
      <c r="V70" s="2542">
        <v>0.6</v>
      </c>
      <c r="W70" s="2542">
        <v>0.6</v>
      </c>
      <c r="X70" s="2542">
        <v>0.6</v>
      </c>
      <c r="Y70" s="2062" t="s">
        <v>1404</v>
      </c>
      <c r="Z70" s="2062"/>
      <c r="AA70" s="2433"/>
      <c r="AB70" s="2063"/>
      <c r="AC70" s="2448" t="str">
        <f>+AC56</f>
        <v>Incineração</v>
      </c>
      <c r="AD70" s="2449">
        <f>+AD56*Q52/1000</f>
        <v>0</v>
      </c>
      <c r="AE70" s="2449">
        <f>+AE56*R52/1000</f>
        <v>0</v>
      </c>
      <c r="AF70" s="2449">
        <f>+AF56*T52/1000</f>
        <v>0</v>
      </c>
      <c r="AG70" s="2449">
        <f>+AG56*U52/1000</f>
        <v>0</v>
      </c>
      <c r="AH70" s="2449">
        <f>+AH56*U52/1000</f>
        <v>0</v>
      </c>
      <c r="AI70" s="2449">
        <f>+AI56*V52/1000</f>
        <v>0</v>
      </c>
      <c r="AJ70" s="2449">
        <f>+AJ56*W52/1000</f>
        <v>39528.245484926003</v>
      </c>
      <c r="AK70" s="2449">
        <f>+AK56*X52/1000</f>
        <v>39528.245484926003</v>
      </c>
    </row>
    <row r="71" spans="1:37" ht="18" customHeight="1" x14ac:dyDescent="0.2">
      <c r="A71" s="2437"/>
      <c r="B71" s="2063"/>
      <c r="C71" s="2063"/>
      <c r="D71" s="2063"/>
      <c r="E71" s="2063"/>
      <c r="F71" s="2063"/>
      <c r="G71" s="2063"/>
      <c r="H71" s="2063"/>
      <c r="I71" s="2063"/>
      <c r="J71" s="2063"/>
      <c r="K71" s="2063"/>
      <c r="L71" s="2495"/>
      <c r="M71" s="2431"/>
      <c r="N71" s="2540" t="s">
        <v>1405</v>
      </c>
      <c r="O71" s="2541"/>
      <c r="P71" s="2539"/>
      <c r="Q71" s="2544">
        <f>Q69*'CO2 - Destinação'!$E$46</f>
        <v>0</v>
      </c>
      <c r="R71" s="2544">
        <f>R69*'CO2 - Destinação'!$G$46</f>
        <v>0</v>
      </c>
      <c r="S71" s="2544">
        <f>S69*'CO2 - Destinação'!$H$46</f>
        <v>0</v>
      </c>
      <c r="T71" s="2544">
        <f>T69*'CO2 - Destinação'!$I$46</f>
        <v>0</v>
      </c>
      <c r="U71" s="2544">
        <f>U69*'CO2 - Destinação'!$J$46</f>
        <v>0</v>
      </c>
      <c r="V71" s="2544">
        <f>V69*'CO2 - Destinação'!$K$46</f>
        <v>0</v>
      </c>
      <c r="W71" s="2544">
        <f>W69*'CO2 - Destinação'!$K$46</f>
        <v>0</v>
      </c>
      <c r="X71" s="2544">
        <f>X69*'CO2 - Destinação'!$M$46</f>
        <v>0</v>
      </c>
      <c r="Y71" s="2062" t="s">
        <v>1401</v>
      </c>
      <c r="Z71" s="2062"/>
      <c r="AA71" s="2433"/>
      <c r="AB71" s="2063"/>
      <c r="AC71" s="2536" t="s">
        <v>1252</v>
      </c>
      <c r="AD71" s="2471" t="s">
        <v>1315</v>
      </c>
      <c r="AE71" s="2062"/>
      <c r="AF71" s="2062"/>
      <c r="AG71" s="2062"/>
      <c r="AH71" s="2062"/>
      <c r="AI71" s="2062"/>
      <c r="AJ71" s="2062"/>
      <c r="AK71" s="2062"/>
    </row>
    <row r="72" spans="1:37" ht="18" customHeight="1" x14ac:dyDescent="0.2">
      <c r="A72" s="2437"/>
      <c r="B72" s="2529" t="s">
        <v>1406</v>
      </c>
      <c r="C72" s="2197"/>
      <c r="D72" s="2077" t="str">
        <f>+'CO2 - Reciclagem'!E8</f>
        <v>Cenário-Base</v>
      </c>
      <c r="E72" s="2077" t="str">
        <f>+'CO2 - Reciclagem'!G8</f>
        <v>Biodigestão RT1A + CDR TM</v>
      </c>
      <c r="F72" s="2077" t="str">
        <f>+'CO2 - Reciclagem'!H8</f>
        <v>Biodigestão RT1B + CDR TM</v>
      </c>
      <c r="G72" s="2077" t="str">
        <f>+'CO2 - Reciclagem'!I8</f>
        <v>Biodigestão RT1C + CDR TM</v>
      </c>
      <c r="H72" s="2077" t="str">
        <f>+'CO2 - Reciclagem'!J8</f>
        <v>Compostagem + CDR TM</v>
      </c>
      <c r="I72" s="2077" t="str">
        <f>+'CO2 - Reciclagem'!K8</f>
        <v xml:space="preserve">Biosecagem + CDR TMB </v>
      </c>
      <c r="J72" s="2077" t="str">
        <f>+'CO2 - Reciclagem'!L8</f>
        <v>Incineração Mass Burning</v>
      </c>
      <c r="K72" s="2077" t="str">
        <f>+'CO2 - Reciclagem'!M8</f>
        <v>Incineração Mass Burn. Descentralizada</v>
      </c>
      <c r="L72" s="2495"/>
      <c r="M72" s="2431"/>
      <c r="N72" s="2540" t="s">
        <v>1407</v>
      </c>
      <c r="O72" s="2541"/>
      <c r="P72" s="2539"/>
      <c r="Q72" s="2544">
        <f>Q69*'CO2 - Destinação'!$E$47</f>
        <v>0</v>
      </c>
      <c r="R72" s="2544">
        <f>R69*'CO2 - Destinação'!$G$47</f>
        <v>0</v>
      </c>
      <c r="S72" s="2544">
        <f>S69*'CO2 - Destinação'!$H$47</f>
        <v>0</v>
      </c>
      <c r="T72" s="2544">
        <f>T69*'CO2 - Destinação'!$I$47</f>
        <v>0</v>
      </c>
      <c r="U72" s="2544">
        <f>U69*'CO2 - Destinação'!$J$47</f>
        <v>0</v>
      </c>
      <c r="V72" s="2544">
        <f>V69*'CO2 - Destinação'!$K$47</f>
        <v>0</v>
      </c>
      <c r="W72" s="2544">
        <f>W69*'CO2 - Destinação'!$K$47</f>
        <v>0</v>
      </c>
      <c r="X72" s="2544">
        <f>X69*'CO2 - Destinação'!$M$47</f>
        <v>0</v>
      </c>
      <c r="Y72" s="2062" t="s">
        <v>1401</v>
      </c>
      <c r="Z72" s="2062"/>
      <c r="AA72" s="2433"/>
      <c r="AB72" s="2063"/>
      <c r="AC72" s="2448" t="str">
        <f>+AC47</f>
        <v>Resíduos dispersos</v>
      </c>
      <c r="AD72" s="2449">
        <v>0</v>
      </c>
      <c r="AE72" s="2449">
        <v>0</v>
      </c>
      <c r="AF72" s="2449">
        <v>0</v>
      </c>
      <c r="AG72" s="2449">
        <v>0</v>
      </c>
      <c r="AH72" s="2449">
        <v>0</v>
      </c>
      <c r="AI72" s="2449">
        <v>0</v>
      </c>
      <c r="AJ72" s="2449">
        <v>0</v>
      </c>
      <c r="AK72" s="2449">
        <v>0</v>
      </c>
    </row>
    <row r="73" spans="1:37" ht="18" customHeight="1" x14ac:dyDescent="0.2">
      <c r="A73" s="2437"/>
      <c r="B73" s="2549" t="s">
        <v>1107</v>
      </c>
      <c r="C73" s="2472"/>
      <c r="D73" s="2550">
        <f>+$D$46*'CO2 - Reciclagem'!E24</f>
        <v>0</v>
      </c>
      <c r="E73" s="2550">
        <f>+$D$46*'CO2 - Reciclagem'!G24</f>
        <v>0</v>
      </c>
      <c r="F73" s="2550">
        <f>+$D$46*'CO2 - Reciclagem'!H24</f>
        <v>0</v>
      </c>
      <c r="G73" s="2550">
        <f>+$D$46*'CO2 - Reciclagem'!I24</f>
        <v>0</v>
      </c>
      <c r="H73" s="2550">
        <f>+$D$46*'CO2 - Reciclagem'!J24</f>
        <v>0</v>
      </c>
      <c r="I73" s="2550">
        <f>+$D$46*'CO2 - Reciclagem'!K24</f>
        <v>0</v>
      </c>
      <c r="J73" s="2550">
        <f>+$D$46*'CO2 - Reciclagem'!L24</f>
        <v>0</v>
      </c>
      <c r="K73" s="2550">
        <f>+$D$46*'CO2 - Reciclagem'!M24</f>
        <v>0</v>
      </c>
      <c r="L73" s="2439" t="s">
        <v>1086</v>
      </c>
      <c r="M73" s="2431"/>
      <c r="N73" s="2540" t="s">
        <v>1408</v>
      </c>
      <c r="O73" s="2541"/>
      <c r="P73" s="2539"/>
      <c r="Q73" s="2544">
        <f t="shared" ref="Q73:X73" si="57">+Q71*Q70*10*$R$12</f>
        <v>0</v>
      </c>
      <c r="R73" s="2544">
        <f t="shared" si="57"/>
        <v>0</v>
      </c>
      <c r="S73" s="2544">
        <f t="shared" si="57"/>
        <v>0</v>
      </c>
      <c r="T73" s="2544">
        <f t="shared" si="57"/>
        <v>0</v>
      </c>
      <c r="U73" s="2544">
        <f t="shared" si="57"/>
        <v>0</v>
      </c>
      <c r="V73" s="2544">
        <f t="shared" si="57"/>
        <v>0</v>
      </c>
      <c r="W73" s="2544">
        <f t="shared" si="57"/>
        <v>0</v>
      </c>
      <c r="X73" s="2544">
        <f t="shared" si="57"/>
        <v>0</v>
      </c>
      <c r="Y73" s="2062" t="s">
        <v>1391</v>
      </c>
      <c r="Z73" s="2062"/>
      <c r="AA73" s="2433"/>
      <c r="AB73" s="2063"/>
      <c r="AC73" s="2448" t="str">
        <f>+AC48</f>
        <v>Queima a céu aberto</v>
      </c>
      <c r="AD73" s="2449">
        <v>0</v>
      </c>
      <c r="AE73" s="2449">
        <v>0</v>
      </c>
      <c r="AF73" s="2449">
        <v>0</v>
      </c>
      <c r="AG73" s="2449">
        <v>0</v>
      </c>
      <c r="AH73" s="2449">
        <v>0</v>
      </c>
      <c r="AI73" s="2449">
        <v>0</v>
      </c>
      <c r="AJ73" s="2449">
        <v>0</v>
      </c>
      <c r="AK73" s="2449">
        <v>0</v>
      </c>
    </row>
    <row r="74" spans="1:37" ht="18" customHeight="1" x14ac:dyDescent="0.2">
      <c r="A74" s="2437"/>
      <c r="B74" s="2549" t="s">
        <v>1108</v>
      </c>
      <c r="C74" s="2472"/>
      <c r="D74" s="2550">
        <f>+$D$47*'CO2 - Reciclagem'!E25</f>
        <v>0</v>
      </c>
      <c r="E74" s="2550">
        <f>+$D$47*'CO2 - Reciclagem'!G25</f>
        <v>0</v>
      </c>
      <c r="F74" s="2550">
        <f>+$D$47*'CO2 - Reciclagem'!H25</f>
        <v>0</v>
      </c>
      <c r="G74" s="2550">
        <f>+$D$47*'CO2 - Reciclagem'!I25</f>
        <v>0</v>
      </c>
      <c r="H74" s="2550">
        <f>+$D$47*'CO2 - Reciclagem'!J25</f>
        <v>0</v>
      </c>
      <c r="I74" s="2550">
        <f>+$D$47*'CO2 - Reciclagem'!K25</f>
        <v>0</v>
      </c>
      <c r="J74" s="2550">
        <f>+$D$47*'CO2 - Reciclagem'!L25</f>
        <v>0</v>
      </c>
      <c r="K74" s="2550">
        <f>+$D$47*'CO2 - Reciclagem'!M25</f>
        <v>0</v>
      </c>
      <c r="L74" s="2439" t="s">
        <v>1086</v>
      </c>
      <c r="M74" s="2431"/>
      <c r="N74" s="2540" t="s">
        <v>1220</v>
      </c>
      <c r="O74" s="2541"/>
      <c r="P74" s="2539"/>
      <c r="Q74" s="2544">
        <f>Q72*Q70*10</f>
        <v>0</v>
      </c>
      <c r="R74" s="2544">
        <f t="shared" ref="R74:X74" si="58">R72*R70*10</f>
        <v>0</v>
      </c>
      <c r="S74" s="2544">
        <f t="shared" si="58"/>
        <v>0</v>
      </c>
      <c r="T74" s="2544">
        <f t="shared" si="58"/>
        <v>0</v>
      </c>
      <c r="U74" s="2544">
        <f t="shared" si="58"/>
        <v>0</v>
      </c>
      <c r="V74" s="2544">
        <f t="shared" si="58"/>
        <v>0</v>
      </c>
      <c r="W74" s="2544">
        <f t="shared" si="58"/>
        <v>0</v>
      </c>
      <c r="X74" s="2544">
        <f t="shared" si="58"/>
        <v>0</v>
      </c>
      <c r="Y74" s="2062" t="s">
        <v>1391</v>
      </c>
      <c r="Z74" s="2062"/>
      <c r="AA74" s="2433"/>
      <c r="AB74" s="2063"/>
      <c r="AC74" s="2448" t="str">
        <f>+AC49</f>
        <v>Lixão não controlado</v>
      </c>
      <c r="AD74" s="2449">
        <v>0</v>
      </c>
      <c r="AE74" s="2449">
        <v>0</v>
      </c>
      <c r="AF74" s="2449">
        <v>0</v>
      </c>
      <c r="AG74" s="2449">
        <v>0</v>
      </c>
      <c r="AH74" s="2449">
        <v>0</v>
      </c>
      <c r="AI74" s="2449">
        <v>0</v>
      </c>
      <c r="AJ74" s="2449">
        <v>0</v>
      </c>
      <c r="AK74" s="2449">
        <v>0</v>
      </c>
    </row>
    <row r="75" spans="1:37" ht="18" customHeight="1" x14ac:dyDescent="0.2">
      <c r="A75" s="2437"/>
      <c r="B75" s="2549" t="s">
        <v>1109</v>
      </c>
      <c r="C75" s="2472"/>
      <c r="D75" s="2550">
        <f>+$D$48*'CO2 - Reciclagem'!E13</f>
        <v>1912.6000000000001</v>
      </c>
      <c r="E75" s="2550">
        <f>+$D$48*'CO2 - Reciclagem'!G13</f>
        <v>6368.9580000000005</v>
      </c>
      <c r="F75" s="2550">
        <f>+$D$48*'CO2 - Reciclagem'!H13</f>
        <v>6368.9580000000005</v>
      </c>
      <c r="G75" s="2550">
        <f>+$D$48*'CO2 - Reciclagem'!I13</f>
        <v>6368.9580000000005</v>
      </c>
      <c r="H75" s="2550">
        <f>+$D$48*'CO2 - Reciclagem'!J13</f>
        <v>6368.9580000000005</v>
      </c>
      <c r="I75" s="2550">
        <f>+$D$48*'CO2 - Reciclagem'!K13</f>
        <v>6368.9580000000005</v>
      </c>
      <c r="J75" s="2550">
        <f>+$D$48*'CO2 - Reciclagem'!L13</f>
        <v>6368.9580000000005</v>
      </c>
      <c r="K75" s="2550">
        <f>+$D$48*'CO2 - Reciclagem'!M13</f>
        <v>6368.9580000000005</v>
      </c>
      <c r="L75" s="2439" t="s">
        <v>1086</v>
      </c>
      <c r="M75" s="2431"/>
      <c r="N75" s="2540" t="s">
        <v>1409</v>
      </c>
      <c r="O75" s="2541"/>
      <c r="P75" s="2539"/>
      <c r="Q75" s="2543">
        <f t="shared" ref="Q75:X75" si="59">0.82*28+0.045*265</f>
        <v>34.884999999999998</v>
      </c>
      <c r="R75" s="2543">
        <f t="shared" si="59"/>
        <v>34.884999999999998</v>
      </c>
      <c r="S75" s="2543">
        <f t="shared" si="59"/>
        <v>34.884999999999998</v>
      </c>
      <c r="T75" s="2543">
        <f t="shared" si="59"/>
        <v>34.884999999999998</v>
      </c>
      <c r="U75" s="2543">
        <f t="shared" si="59"/>
        <v>34.884999999999998</v>
      </c>
      <c r="V75" s="2543">
        <f t="shared" si="59"/>
        <v>34.884999999999998</v>
      </c>
      <c r="W75" s="2543">
        <f t="shared" si="59"/>
        <v>34.884999999999998</v>
      </c>
      <c r="X75" s="2543">
        <f t="shared" si="59"/>
        <v>34.884999999999998</v>
      </c>
      <c r="Y75" s="2062" t="s">
        <v>1322</v>
      </c>
      <c r="Z75" s="2062"/>
      <c r="AA75" s="2433"/>
      <c r="AB75" s="2063"/>
      <c r="AC75" s="2448" t="str">
        <f>+AC50</f>
        <v>Aterro controlado</v>
      </c>
      <c r="AD75" s="2449">
        <v>0</v>
      </c>
      <c r="AE75" s="2449">
        <v>0</v>
      </c>
      <c r="AF75" s="2449">
        <v>0</v>
      </c>
      <c r="AG75" s="2449">
        <v>0</v>
      </c>
      <c r="AH75" s="2449">
        <v>0</v>
      </c>
      <c r="AI75" s="2449">
        <v>0</v>
      </c>
      <c r="AJ75" s="2449">
        <v>0</v>
      </c>
      <c r="AK75" s="2449">
        <v>0</v>
      </c>
    </row>
    <row r="76" spans="1:37" ht="18" customHeight="1" x14ac:dyDescent="0.2">
      <c r="A76" s="2437"/>
      <c r="B76" s="2549" t="s">
        <v>1110</v>
      </c>
      <c r="C76" s="2472"/>
      <c r="D76" s="2550">
        <f>+$D$49*'CO2 - Reciclagem'!E14</f>
        <v>1971</v>
      </c>
      <c r="E76" s="2550">
        <f>+$D$49*'CO2 - Reciclagem'!G14</f>
        <v>4336.2</v>
      </c>
      <c r="F76" s="2550">
        <f>+$D$49*'CO2 - Reciclagem'!H14</f>
        <v>4336.2</v>
      </c>
      <c r="G76" s="2550">
        <f>+$D$49*'CO2 - Reciclagem'!I14</f>
        <v>4336.2</v>
      </c>
      <c r="H76" s="2550">
        <f>+$D$49*'CO2 - Reciclagem'!J14</f>
        <v>4336.2</v>
      </c>
      <c r="I76" s="2550">
        <f>+$D$49*'CO2 - Reciclagem'!K14</f>
        <v>4336.2</v>
      </c>
      <c r="J76" s="2550">
        <f>+$D$49*'CO2 - Reciclagem'!L14</f>
        <v>4336.2</v>
      </c>
      <c r="K76" s="2550">
        <f>+$D$49*'CO2 - Reciclagem'!M14</f>
        <v>4336.2</v>
      </c>
      <c r="L76" s="2439" t="s">
        <v>1086</v>
      </c>
      <c r="M76" s="2431"/>
      <c r="N76" s="2540" t="s">
        <v>1410</v>
      </c>
      <c r="O76" s="2541"/>
      <c r="P76" s="2539"/>
      <c r="Q76" s="2551">
        <v>100</v>
      </c>
      <c r="R76" s="2551">
        <v>100</v>
      </c>
      <c r="S76" s="2551">
        <v>100</v>
      </c>
      <c r="T76" s="2551">
        <v>100</v>
      </c>
      <c r="U76" s="2551">
        <v>100</v>
      </c>
      <c r="V76" s="2551">
        <v>100</v>
      </c>
      <c r="W76" s="2551">
        <v>100</v>
      </c>
      <c r="X76" s="2551">
        <v>100</v>
      </c>
      <c r="Y76" s="2062" t="s">
        <v>1391</v>
      </c>
      <c r="Z76" s="2062"/>
      <c r="AA76" s="2433"/>
      <c r="AB76" s="2063"/>
      <c r="AC76" s="2448" t="str">
        <f>+AC51</f>
        <v>Aterro sanitário</v>
      </c>
      <c r="AD76" s="2449">
        <f>+AD51*Q47/1000*(-1)</f>
        <v>0</v>
      </c>
      <c r="AE76" s="2449">
        <f>+AE51*R47/1000*(-1)</f>
        <v>0</v>
      </c>
      <c r="AF76" s="2449">
        <f>+AF51*T47/1000*(-1)</f>
        <v>0</v>
      </c>
      <c r="AG76" s="2449">
        <f>+AG51*U47/1000*(-1)</f>
        <v>0</v>
      </c>
      <c r="AH76" s="2449">
        <f>+AH51*U47/1000*(-1)</f>
        <v>0</v>
      </c>
      <c r="AI76" s="2449">
        <f>+AI51*V47/1000*(-1)</f>
        <v>0</v>
      </c>
      <c r="AJ76" s="2449">
        <f>+AJ51*W47/1000*(-1)</f>
        <v>0</v>
      </c>
      <c r="AK76" s="2449">
        <f>+AK51*X47/1000*(-1)</f>
        <v>0</v>
      </c>
    </row>
    <row r="77" spans="1:37" ht="18" customHeight="1" x14ac:dyDescent="0.2">
      <c r="A77" s="2437"/>
      <c r="B77" s="2549" t="s">
        <v>50</v>
      </c>
      <c r="C77" s="2472"/>
      <c r="D77" s="2550">
        <f>+$D$50*'CO2 - Reciclagem'!E15</f>
        <v>0</v>
      </c>
      <c r="E77" s="2550">
        <f>+$D$50*'CO2 - Reciclagem'!G15</f>
        <v>0</v>
      </c>
      <c r="F77" s="2550">
        <f>+$D$50*'CO2 - Reciclagem'!H15</f>
        <v>0</v>
      </c>
      <c r="G77" s="2550">
        <f>+$D$50*'CO2 - Reciclagem'!I15</f>
        <v>0</v>
      </c>
      <c r="H77" s="2550">
        <f>+$D$50*'CO2 - Reciclagem'!J15</f>
        <v>0</v>
      </c>
      <c r="I77" s="2550">
        <f>+$D$50*'CO2 - Reciclagem'!K15</f>
        <v>0</v>
      </c>
      <c r="J77" s="2550">
        <f>+$D$50*'CO2 - Reciclagem'!L15</f>
        <v>0</v>
      </c>
      <c r="K77" s="2550">
        <f>+$D$50*'CO2 - Reciclagem'!M15</f>
        <v>0</v>
      </c>
      <c r="L77" s="2439" t="s">
        <v>1086</v>
      </c>
      <c r="M77" s="2431"/>
      <c r="N77" s="2540" t="s">
        <v>1411</v>
      </c>
      <c r="O77" s="2541"/>
      <c r="P77" s="2539"/>
      <c r="Q77" s="2544">
        <f>Q76*$C$3/1000</f>
        <v>7.5900000000000007</v>
      </c>
      <c r="R77" s="2544">
        <f t="shared" ref="R77:X77" si="60">R76*$C$3/1000</f>
        <v>7.5900000000000007</v>
      </c>
      <c r="S77" s="2544">
        <f t="shared" si="60"/>
        <v>7.5900000000000007</v>
      </c>
      <c r="T77" s="2544">
        <f t="shared" si="60"/>
        <v>7.5900000000000007</v>
      </c>
      <c r="U77" s="2544">
        <f t="shared" si="60"/>
        <v>7.5900000000000007</v>
      </c>
      <c r="V77" s="2544">
        <f t="shared" si="60"/>
        <v>7.5900000000000007</v>
      </c>
      <c r="W77" s="2544">
        <f t="shared" si="60"/>
        <v>7.5900000000000007</v>
      </c>
      <c r="X77" s="2544">
        <f t="shared" si="60"/>
        <v>7.5900000000000007</v>
      </c>
      <c r="Y77" s="2488" t="s">
        <v>1322</v>
      </c>
      <c r="Z77" s="2062"/>
      <c r="AA77" s="2433"/>
      <c r="AB77" s="2063"/>
      <c r="AC77" s="2448" t="str">
        <f t="shared" ref="AC77:AC80" si="61">+AC52</f>
        <v>Trat. biol + cobertura at.</v>
      </c>
      <c r="AD77" s="2449">
        <f>+AD52*Q87/1000*(-1)</f>
        <v>0</v>
      </c>
      <c r="AE77" s="2449">
        <f>+AE52*R87/1000*(-1)</f>
        <v>0</v>
      </c>
      <c r="AF77" s="2449">
        <f>+AF52*T87/1000*(-1)</f>
        <v>0</v>
      </c>
      <c r="AG77" s="2449">
        <f>+AG52*U87/1000*(-1)</f>
        <v>0</v>
      </c>
      <c r="AH77" s="2449">
        <f>+AH52*U87/1000*(-1)</f>
        <v>0</v>
      </c>
      <c r="AI77" s="2449">
        <f>+AI52*V87/1000*(-1)</f>
        <v>0</v>
      </c>
      <c r="AJ77" s="2449">
        <f>+AJ52*W87/1000*(-1)</f>
        <v>0</v>
      </c>
      <c r="AK77" s="2449">
        <f>+AK52*X87/1000*(-1)</f>
        <v>0</v>
      </c>
    </row>
    <row r="78" spans="1:37" ht="18" customHeight="1" x14ac:dyDescent="0.2">
      <c r="A78" s="2437"/>
      <c r="B78" s="2549" t="s">
        <v>1111</v>
      </c>
      <c r="C78" s="2472"/>
      <c r="D78" s="2550">
        <f>+$D$51*'CO2 - Reciclagem'!E16</f>
        <v>671.6</v>
      </c>
      <c r="E78" s="2550">
        <f>+$D$51*'CO2 - Reciclagem'!G16</f>
        <v>3190.1</v>
      </c>
      <c r="F78" s="2550">
        <f>+$D$51*'CO2 - Reciclagem'!H16</f>
        <v>3190.1</v>
      </c>
      <c r="G78" s="2550">
        <f>+$D$51*'CO2 - Reciclagem'!I16</f>
        <v>3190.1</v>
      </c>
      <c r="H78" s="2550">
        <f>+$D$51*'CO2 - Reciclagem'!J16</f>
        <v>3190.1</v>
      </c>
      <c r="I78" s="2550">
        <f>+$D$51*'CO2 - Reciclagem'!K16</f>
        <v>3190.1</v>
      </c>
      <c r="J78" s="2550">
        <f>+$D$51*'CO2 - Reciclagem'!L16</f>
        <v>3190.1</v>
      </c>
      <c r="K78" s="2550">
        <f>+$D$51*'CO2 - Reciclagem'!M16</f>
        <v>3190.1</v>
      </c>
      <c r="L78" s="2439" t="s">
        <v>1086</v>
      </c>
      <c r="M78" s="2431"/>
      <c r="N78" s="2540" t="s">
        <v>1412</v>
      </c>
      <c r="O78" s="2541"/>
      <c r="P78" s="2539"/>
      <c r="Q78" s="2544">
        <f>Q75+Q77</f>
        <v>42.475000000000001</v>
      </c>
      <c r="R78" s="2544">
        <f t="shared" ref="R78:X78" si="62">R75+R77</f>
        <v>42.475000000000001</v>
      </c>
      <c r="S78" s="2544">
        <f t="shared" si="62"/>
        <v>42.475000000000001</v>
      </c>
      <c r="T78" s="2544">
        <f t="shared" si="62"/>
        <v>42.475000000000001</v>
      </c>
      <c r="U78" s="2544">
        <f t="shared" si="62"/>
        <v>42.475000000000001</v>
      </c>
      <c r="V78" s="2544">
        <f t="shared" si="62"/>
        <v>42.475000000000001</v>
      </c>
      <c r="W78" s="2544">
        <f t="shared" si="62"/>
        <v>42.475000000000001</v>
      </c>
      <c r="X78" s="2544">
        <f t="shared" si="62"/>
        <v>42.475000000000001</v>
      </c>
      <c r="Y78" s="2488" t="s">
        <v>1322</v>
      </c>
      <c r="Z78" s="2062"/>
      <c r="AA78" s="2433"/>
      <c r="AB78" s="2063"/>
      <c r="AC78" s="2448" t="str">
        <f t="shared" si="61"/>
        <v>CDR seco + rejeito aterro</v>
      </c>
      <c r="AD78" s="2449">
        <f>+AD53*Q102/1000*(-1)</f>
        <v>0</v>
      </c>
      <c r="AE78" s="2449">
        <f>+AE53*R102/1000*(-1)</f>
        <v>-8213.3557915298534</v>
      </c>
      <c r="AF78" s="2449">
        <f>+AF53*T102/1000*(-1)</f>
        <v>-8213.3557915298534</v>
      </c>
      <c r="AG78" s="2449">
        <f>+AG53*U102/1000*(-1)</f>
        <v>-8213.3557915298534</v>
      </c>
      <c r="AH78" s="2449">
        <f>+AH53*U102/1000*(-1)</f>
        <v>0</v>
      </c>
      <c r="AI78" s="2449">
        <f>+AI53*V102/1000*(-1)</f>
        <v>0</v>
      </c>
      <c r="AJ78" s="2449">
        <f>+AJ53*W102/1000*(-1)</f>
        <v>0</v>
      </c>
      <c r="AK78" s="2449">
        <f>+AK53*X102/1000*(-1)</f>
        <v>0</v>
      </c>
    </row>
    <row r="79" spans="1:37" ht="18" customHeight="1" x14ac:dyDescent="0.2">
      <c r="A79" s="2437"/>
      <c r="B79" s="2549" t="s">
        <v>1112</v>
      </c>
      <c r="C79" s="2472"/>
      <c r="D79" s="2550">
        <f>+$D$52*'CO2 - Reciclagem'!E17</f>
        <v>175.20000000000002</v>
      </c>
      <c r="E79" s="2550">
        <f>+$D$52*'CO2 - Reciclagem'!G17</f>
        <v>832.19999999999993</v>
      </c>
      <c r="F79" s="2550">
        <f>+$D$52*'CO2 - Reciclagem'!H17</f>
        <v>832.19999999999993</v>
      </c>
      <c r="G79" s="2550">
        <f>+$D$52*'CO2 - Reciclagem'!I17</f>
        <v>832.19999999999993</v>
      </c>
      <c r="H79" s="2550">
        <f>+$D$52*'CO2 - Reciclagem'!J17</f>
        <v>832.19999999999993</v>
      </c>
      <c r="I79" s="2550">
        <f>+$D$52*'CO2 - Reciclagem'!K17</f>
        <v>832.19999999999993</v>
      </c>
      <c r="J79" s="2550">
        <f>+$D$52*'CO2 - Reciclagem'!L17</f>
        <v>832.19999999999993</v>
      </c>
      <c r="K79" s="2550">
        <f>+$D$52*'CO2 - Reciclagem'!M17</f>
        <v>832.19999999999993</v>
      </c>
      <c r="L79" s="2439" t="s">
        <v>1086</v>
      </c>
      <c r="M79" s="2431"/>
      <c r="N79" s="2537" t="s">
        <v>1413</v>
      </c>
      <c r="O79" s="2541"/>
      <c r="P79" s="2539"/>
      <c r="Q79" s="2552"/>
      <c r="R79" s="2551"/>
      <c r="S79" s="2551"/>
      <c r="T79" s="2551"/>
      <c r="U79" s="2551"/>
      <c r="V79" s="2551"/>
      <c r="W79" s="2551"/>
      <c r="X79" s="2551"/>
      <c r="Y79" s="2488"/>
      <c r="Z79" s="2062" t="s">
        <v>1414</v>
      </c>
      <c r="AA79" s="2433"/>
      <c r="AB79" s="2063"/>
      <c r="AC79" s="2448" t="str">
        <f t="shared" si="61"/>
        <v>CDR seco + trat. biol.</v>
      </c>
      <c r="AD79" s="2449">
        <f>+AD54*Q135/1000*(-1)</f>
        <v>0</v>
      </c>
      <c r="AE79" s="2449">
        <f>+AE54*R135/1000*(-1)</f>
        <v>-34946.287241831815</v>
      </c>
      <c r="AF79" s="2449">
        <f>+AF54*T135/1000*(-1)</f>
        <v>-41186.708432916232</v>
      </c>
      <c r="AG79" s="2449">
        <f>+AG54*U135/1000*(-1)</f>
        <v>-34496.094324425387</v>
      </c>
      <c r="AH79" s="2449">
        <f>+AH54*U135/1000*(-1)</f>
        <v>0</v>
      </c>
      <c r="AI79" s="2449">
        <f>+AI54*V135/1000*(-1)</f>
        <v>0</v>
      </c>
      <c r="AJ79" s="2449">
        <f>+AJ54*W135/1000*(-1)</f>
        <v>0</v>
      </c>
      <c r="AK79" s="2449">
        <f>+AK54*X135/1000*(-1)</f>
        <v>0</v>
      </c>
    </row>
    <row r="80" spans="1:37" ht="18" customHeight="1" x14ac:dyDescent="0.2">
      <c r="A80" s="2437"/>
      <c r="B80" s="2549" t="s">
        <v>1113</v>
      </c>
      <c r="C80" s="2472"/>
      <c r="D80" s="2550">
        <f>+$D$53*'CO2 - Reciclagem'!E18</f>
        <v>0</v>
      </c>
      <c r="E80" s="2550">
        <f>+$D$53*'CO2 - Reciclagem'!G18</f>
        <v>0</v>
      </c>
      <c r="F80" s="2550">
        <f>+$D$53*'CO2 - Reciclagem'!H18</f>
        <v>0</v>
      </c>
      <c r="G80" s="2550">
        <f>+$D$53*'CO2 - Reciclagem'!I18</f>
        <v>0</v>
      </c>
      <c r="H80" s="2550">
        <f>+$D$53*'CO2 - Reciclagem'!J18</f>
        <v>0</v>
      </c>
      <c r="I80" s="2550">
        <f>+$D$53*'CO2 - Reciclagem'!K18</f>
        <v>0</v>
      </c>
      <c r="J80" s="2550">
        <f>+$D$53*'CO2 - Reciclagem'!L18</f>
        <v>0</v>
      </c>
      <c r="K80" s="2550">
        <f>+$D$53*'CO2 - Reciclagem'!M18</f>
        <v>0</v>
      </c>
      <c r="L80" s="2439" t="s">
        <v>1086</v>
      </c>
      <c r="M80" s="2431"/>
      <c r="N80" s="2540" t="s">
        <v>1415</v>
      </c>
      <c r="O80" s="2545"/>
      <c r="P80" s="2539"/>
      <c r="Q80" s="2553">
        <f>$Q$43+$Q$44+$Q$45</f>
        <v>3.2385304029626489</v>
      </c>
      <c r="R80" s="2553">
        <f>$R$43+$R$44+$R$45</f>
        <v>3.2385304029626489</v>
      </c>
      <c r="S80" s="2553">
        <f>$R$43+$R$44+$R$45</f>
        <v>3.2385304029626489</v>
      </c>
      <c r="T80" s="2553">
        <f>$R$43+$R$44+$R$45</f>
        <v>3.2385304029626489</v>
      </c>
      <c r="U80" s="2553">
        <f>$U$43+$U$44+$U$45</f>
        <v>3.2385304029626489</v>
      </c>
      <c r="V80" s="2553">
        <f>$V$43+$V$44+$V$45</f>
        <v>3.2385304029626489</v>
      </c>
      <c r="W80" s="2553">
        <f>$V$43+$V$44+$V$45</f>
        <v>3.2385304029626489</v>
      </c>
      <c r="X80" s="2553">
        <f>$V$43+$V$44+$V$45</f>
        <v>3.2385304029626489</v>
      </c>
      <c r="Y80" s="2554" t="s">
        <v>1322</v>
      </c>
      <c r="Z80" s="2062" t="s">
        <v>1414</v>
      </c>
      <c r="AA80" s="2433"/>
      <c r="AB80" s="2062"/>
      <c r="AC80" s="2448" t="str">
        <f t="shared" si="61"/>
        <v>CDR seco + CDR org.</v>
      </c>
      <c r="AD80" s="2449">
        <f>+AD55*Q154/1000*(-1)</f>
        <v>0</v>
      </c>
      <c r="AE80" s="2449">
        <f>+AE55*R154/1000*(-1)</f>
        <v>0</v>
      </c>
      <c r="AF80" s="2449">
        <f>+AF55*T154/1000*(-1)</f>
        <v>0</v>
      </c>
      <c r="AG80" s="2449">
        <f>+AG55*U154/1000*(-1)</f>
        <v>0</v>
      </c>
      <c r="AH80" s="2449">
        <f>+AH55*U154/1000*(-1)</f>
        <v>0</v>
      </c>
      <c r="AI80" s="2449">
        <f>+AI55*V154/1000*(-1)</f>
        <v>-80794.489341582099</v>
      </c>
      <c r="AJ80" s="2449">
        <f>+AJ55*W154/1000*(-1)</f>
        <v>0</v>
      </c>
      <c r="AK80" s="2449">
        <f>+AK55*X154/1000*(-1)</f>
        <v>0</v>
      </c>
    </row>
    <row r="81" spans="1:37" ht="18" customHeight="1" x14ac:dyDescent="0.2">
      <c r="A81" s="2437"/>
      <c r="B81" s="2529" t="s">
        <v>52</v>
      </c>
      <c r="C81" s="2504"/>
      <c r="D81" s="2375">
        <f t="shared" ref="D81:J81" si="63">SUM(D73:D80)</f>
        <v>4730.4000000000005</v>
      </c>
      <c r="E81" s="2375">
        <f t="shared" si="63"/>
        <v>14727.458000000001</v>
      </c>
      <c r="F81" s="2375">
        <f t="shared" ref="F81" si="64">SUM(F73:F80)</f>
        <v>14727.458000000001</v>
      </c>
      <c r="G81" s="2375">
        <f t="shared" si="63"/>
        <v>14727.458000000001</v>
      </c>
      <c r="H81" s="2375">
        <f t="shared" si="63"/>
        <v>14727.458000000001</v>
      </c>
      <c r="I81" s="2375">
        <f t="shared" si="63"/>
        <v>14727.458000000001</v>
      </c>
      <c r="J81" s="2375">
        <f t="shared" si="63"/>
        <v>14727.458000000001</v>
      </c>
      <c r="K81" s="2375">
        <f t="shared" ref="K81" si="65">SUM(K73:K80)</f>
        <v>14727.458000000001</v>
      </c>
      <c r="L81" s="2439" t="s">
        <v>1086</v>
      </c>
      <c r="M81" s="2431"/>
      <c r="N81" s="2540" t="s">
        <v>1416</v>
      </c>
      <c r="O81" s="2534"/>
      <c r="P81" s="2535"/>
      <c r="Q81" s="2555">
        <f>+$Q$24*(1-Q62)</f>
        <v>0.10715785665564284</v>
      </c>
      <c r="R81" s="2555">
        <f>+$R$24*(1-R62)</f>
        <v>0.10627457544151159</v>
      </c>
      <c r="S81" s="2555">
        <f>+$R$24*(1-S62)</f>
        <v>0.10627457544151159</v>
      </c>
      <c r="T81" s="2555">
        <f>+$R$24*(1-T62)</f>
        <v>0.10627457544151159</v>
      </c>
      <c r="U81" s="2555">
        <f>+$U$24*(1-U62)</f>
        <v>0.10627457544151159</v>
      </c>
      <c r="V81" s="2555">
        <f>+$V$24*(1-V62)</f>
        <v>0.10627457544151159</v>
      </c>
      <c r="W81" s="2555">
        <f>+$V$24*(1-W62)</f>
        <v>0.10627457544151159</v>
      </c>
      <c r="X81" s="2555">
        <f>+$V$24*(1-X62)</f>
        <v>0.10627457544151159</v>
      </c>
      <c r="Y81" s="2554" t="s">
        <v>1417</v>
      </c>
      <c r="Z81" s="2062" t="s">
        <v>1414</v>
      </c>
      <c r="AA81" s="2433"/>
      <c r="AB81" s="2063"/>
      <c r="AC81" s="2448" t="str">
        <f>+AC56</f>
        <v>Incineração</v>
      </c>
      <c r="AD81" s="2449">
        <f>+AD56*Q58/1000*(-1)</f>
        <v>0</v>
      </c>
      <c r="AE81" s="2449">
        <f>+AE56*R58/1000*(-1)</f>
        <v>0</v>
      </c>
      <c r="AF81" s="2449">
        <f>+AF56*T58/1000*(-1)</f>
        <v>0</v>
      </c>
      <c r="AG81" s="2449">
        <f>+AG56*U58/1000*(-1)</f>
        <v>0</v>
      </c>
      <c r="AH81" s="2449">
        <f>+AH56*U58/1000*(-1)</f>
        <v>0</v>
      </c>
      <c r="AI81" s="2449">
        <f>+AI56*V58/1000*(-1)</f>
        <v>0</v>
      </c>
      <c r="AJ81" s="2449">
        <f>+AJ56*W58/1000*(-1)</f>
        <v>-2810.5079200893747</v>
      </c>
      <c r="AK81" s="2449">
        <f>+AK56*X58/1000*(-1)</f>
        <v>-2810.5079200893747</v>
      </c>
    </row>
    <row r="82" spans="1:37" ht="18" customHeight="1" x14ac:dyDescent="0.2">
      <c r="A82" s="2437"/>
      <c r="B82" s="2481"/>
      <c r="C82" s="2063"/>
      <c r="D82" s="2063"/>
      <c r="E82" s="2063"/>
      <c r="F82" s="2063"/>
      <c r="G82" s="2063"/>
      <c r="H82" s="2063"/>
      <c r="I82" s="2063"/>
      <c r="J82" s="2063"/>
      <c r="K82" s="2063"/>
      <c r="L82" s="2481"/>
      <c r="M82" s="2431"/>
      <c r="N82" s="2540" t="s">
        <v>1327</v>
      </c>
      <c r="O82" s="2556"/>
      <c r="P82" s="2535"/>
      <c r="Q82" s="2557">
        <v>0.3</v>
      </c>
      <c r="R82" s="2557">
        <v>0.3</v>
      </c>
      <c r="S82" s="2557">
        <v>0.3</v>
      </c>
      <c r="T82" s="2557">
        <v>0.3</v>
      </c>
      <c r="U82" s="2557">
        <v>0.3</v>
      </c>
      <c r="V82" s="2557">
        <v>0.3</v>
      </c>
      <c r="W82" s="2557">
        <v>0.3</v>
      </c>
      <c r="X82" s="2557">
        <v>0.3</v>
      </c>
      <c r="Y82" s="2554" t="s">
        <v>1328</v>
      </c>
      <c r="Z82" s="2062" t="s">
        <v>1414</v>
      </c>
      <c r="AA82" s="2433"/>
      <c r="AB82" s="2063"/>
      <c r="AC82" s="2536" t="s">
        <v>1253</v>
      </c>
      <c r="AD82" s="2471" t="s">
        <v>1315</v>
      </c>
      <c r="AE82" s="2062"/>
      <c r="AF82" s="2062"/>
      <c r="AG82" s="2062"/>
      <c r="AH82" s="2062"/>
      <c r="AI82" s="2062"/>
      <c r="AJ82" s="2062"/>
      <c r="AK82" s="2062"/>
    </row>
    <row r="83" spans="1:37" ht="18" customHeight="1" x14ac:dyDescent="0.2">
      <c r="A83" s="2437"/>
      <c r="B83" s="2529" t="s">
        <v>1418</v>
      </c>
      <c r="C83" s="1988"/>
      <c r="D83" s="2077" t="str">
        <f t="shared" ref="D83:K83" si="66">+D72</f>
        <v>Cenário-Base</v>
      </c>
      <c r="E83" s="2077" t="str">
        <f t="shared" si="66"/>
        <v>Biodigestão RT1A + CDR TM</v>
      </c>
      <c r="F83" s="2077" t="str">
        <f t="shared" si="66"/>
        <v>Biodigestão RT1B + CDR TM</v>
      </c>
      <c r="G83" s="2077" t="str">
        <f t="shared" si="66"/>
        <v>Biodigestão RT1C + CDR TM</v>
      </c>
      <c r="H83" s="2077" t="str">
        <f t="shared" si="66"/>
        <v>Compostagem + CDR TM</v>
      </c>
      <c r="I83" s="2077" t="str">
        <f t="shared" si="66"/>
        <v xml:space="preserve">Biosecagem + CDR TMB </v>
      </c>
      <c r="J83" s="2077" t="str">
        <f t="shared" si="66"/>
        <v>Incineração Mass Burning</v>
      </c>
      <c r="K83" s="2077" t="str">
        <f t="shared" si="66"/>
        <v>Incineração Mass Burn. Descentralizada</v>
      </c>
      <c r="L83" s="2481"/>
      <c r="M83" s="2431"/>
      <c r="N83" s="2540" t="s">
        <v>1419</v>
      </c>
      <c r="O83" s="2556"/>
      <c r="P83" s="2535"/>
      <c r="Q83" s="2553">
        <f>+Q81*Q82*1868</f>
        <v>60.051262869822239</v>
      </c>
      <c r="R83" s="2553">
        <f t="shared" ref="R83:X83" si="67">+R81*R82*1868</f>
        <v>59.556272077423095</v>
      </c>
      <c r="S83" s="2553">
        <f t="shared" si="67"/>
        <v>59.556272077423095</v>
      </c>
      <c r="T83" s="2553">
        <f t="shared" si="67"/>
        <v>59.556272077423095</v>
      </c>
      <c r="U83" s="2553">
        <f t="shared" si="67"/>
        <v>59.556272077423095</v>
      </c>
      <c r="V83" s="2553">
        <f t="shared" si="67"/>
        <v>59.556272077423095</v>
      </c>
      <c r="W83" s="2553">
        <f t="shared" si="67"/>
        <v>59.556272077423095</v>
      </c>
      <c r="X83" s="2553">
        <f t="shared" si="67"/>
        <v>59.556272077423095</v>
      </c>
      <c r="Y83" s="2554" t="s">
        <v>1420</v>
      </c>
      <c r="Z83" s="2062" t="s">
        <v>1414</v>
      </c>
      <c r="AA83" s="2433"/>
      <c r="AB83" s="2063"/>
      <c r="AC83" s="2448" t="str">
        <f t="shared" ref="AC83:AC91" si="68">+AC47</f>
        <v>Resíduos dispersos</v>
      </c>
      <c r="AD83" s="2550">
        <f t="shared" ref="AD83:AK92" si="69">+AD61+AD72</f>
        <v>0</v>
      </c>
      <c r="AE83" s="2550">
        <f t="shared" si="69"/>
        <v>0</v>
      </c>
      <c r="AF83" s="2550">
        <f t="shared" si="69"/>
        <v>0</v>
      </c>
      <c r="AG83" s="2550">
        <f t="shared" si="69"/>
        <v>0</v>
      </c>
      <c r="AH83" s="2550">
        <f t="shared" si="69"/>
        <v>0</v>
      </c>
      <c r="AI83" s="2550">
        <f t="shared" si="69"/>
        <v>0</v>
      </c>
      <c r="AJ83" s="2550">
        <f t="shared" si="69"/>
        <v>0</v>
      </c>
      <c r="AK83" s="2550">
        <f t="shared" si="69"/>
        <v>0</v>
      </c>
    </row>
    <row r="84" spans="1:37" ht="18" customHeight="1" x14ac:dyDescent="0.2">
      <c r="A84" s="2437"/>
      <c r="B84" s="2549" t="s">
        <v>1107</v>
      </c>
      <c r="C84" s="2464"/>
      <c r="D84" s="2449">
        <f t="shared" ref="D84:K84" si="70">+$D$46-D73</f>
        <v>70664</v>
      </c>
      <c r="E84" s="2449">
        <f t="shared" si="70"/>
        <v>70664</v>
      </c>
      <c r="F84" s="2449">
        <f t="shared" si="70"/>
        <v>70664</v>
      </c>
      <c r="G84" s="2449">
        <f t="shared" si="70"/>
        <v>70664</v>
      </c>
      <c r="H84" s="2449">
        <f t="shared" si="70"/>
        <v>70664</v>
      </c>
      <c r="I84" s="2449">
        <f t="shared" si="70"/>
        <v>70664</v>
      </c>
      <c r="J84" s="2449">
        <f t="shared" si="70"/>
        <v>70664</v>
      </c>
      <c r="K84" s="2449">
        <f t="shared" si="70"/>
        <v>70664</v>
      </c>
      <c r="L84" s="2439" t="s">
        <v>1086</v>
      </c>
      <c r="M84" s="2431"/>
      <c r="N84" s="2540" t="s">
        <v>1421</v>
      </c>
      <c r="O84" s="2541"/>
      <c r="P84" s="2539"/>
      <c r="Q84" s="2553">
        <f>Q83*Q26*(1-'CO2 - Destinação'!$E$40)*16/22.4*28*0</f>
        <v>0</v>
      </c>
      <c r="R84" s="2553">
        <f>R83*R26*(1-'CO2 - Destinação'!$G$40)*16/22.4*28*0</f>
        <v>0</v>
      </c>
      <c r="S84" s="2553">
        <f>S83*S26*(1-'CO2 - Destinação'!$H$40)*16/22.4*28*0</f>
        <v>0</v>
      </c>
      <c r="T84" s="2553">
        <f>T83*T26*(1-'CO2 - Destinação'!$I$40)*16/22.4*28*0</f>
        <v>0</v>
      </c>
      <c r="U84" s="2553">
        <f>U83*U26*(1-'CO2 - Destinação'!$J$40)*16/22.4*28*0</f>
        <v>0</v>
      </c>
      <c r="V84" s="2553">
        <f>V83*V26*(1-'CO2 - Destinação'!$K$40)*16/22.4*28*0</f>
        <v>0</v>
      </c>
      <c r="W84" s="2553">
        <f>W83*W26*(1-'CO2 - Destinação'!$K$40)*16/22.4*28*0</f>
        <v>0</v>
      </c>
      <c r="X84" s="2553">
        <f>X83*X26*(1-'CO2 - Destinação'!$M$40)*16/22.4*28*0</f>
        <v>0</v>
      </c>
      <c r="Y84" s="2554" t="s">
        <v>1322</v>
      </c>
      <c r="Z84" s="2062" t="s">
        <v>1414</v>
      </c>
      <c r="AA84" s="2433"/>
      <c r="AB84" s="2063"/>
      <c r="AC84" s="2448" t="str">
        <f t="shared" si="68"/>
        <v>Queima a céu aberto</v>
      </c>
      <c r="AD84" s="2550">
        <f t="shared" si="69"/>
        <v>0</v>
      </c>
      <c r="AE84" s="2550">
        <f t="shared" si="69"/>
        <v>0</v>
      </c>
      <c r="AF84" s="2550">
        <f t="shared" si="69"/>
        <v>0</v>
      </c>
      <c r="AG84" s="2550">
        <f t="shared" si="69"/>
        <v>0</v>
      </c>
      <c r="AH84" s="2550">
        <f t="shared" si="69"/>
        <v>0</v>
      </c>
      <c r="AI84" s="2550">
        <f t="shared" si="69"/>
        <v>0</v>
      </c>
      <c r="AJ84" s="2550">
        <f t="shared" si="69"/>
        <v>0</v>
      </c>
      <c r="AK84" s="2550">
        <f t="shared" si="69"/>
        <v>0</v>
      </c>
    </row>
    <row r="85" spans="1:37" ht="18" customHeight="1" x14ac:dyDescent="0.2">
      <c r="A85" s="2437"/>
      <c r="B85" s="2549" t="s">
        <v>1108</v>
      </c>
      <c r="C85" s="2464"/>
      <c r="D85" s="2449">
        <f t="shared" ref="D85:K85" si="71">+$D$47-D74</f>
        <v>4380</v>
      </c>
      <c r="E85" s="2449">
        <f t="shared" si="71"/>
        <v>4380</v>
      </c>
      <c r="F85" s="2449">
        <f t="shared" si="71"/>
        <v>4380</v>
      </c>
      <c r="G85" s="2449">
        <f t="shared" si="71"/>
        <v>4380</v>
      </c>
      <c r="H85" s="2449">
        <f t="shared" si="71"/>
        <v>4380</v>
      </c>
      <c r="I85" s="2449">
        <f t="shared" si="71"/>
        <v>4380</v>
      </c>
      <c r="J85" s="2449">
        <f t="shared" si="71"/>
        <v>4380</v>
      </c>
      <c r="K85" s="2449">
        <f t="shared" si="71"/>
        <v>4380</v>
      </c>
      <c r="L85" s="2481"/>
      <c r="M85" s="2431"/>
      <c r="N85" s="2540" t="s">
        <v>1422</v>
      </c>
      <c r="O85" s="2556"/>
      <c r="P85" s="2535"/>
      <c r="Q85" s="2553">
        <f>(+Q83*'CO2 - Destinação'!$E$28*'CO2 - Destinação'!$E$32+Q83*(1-'CO2 - Destinação'!$E$28)*(1-'CO2 - Destinação'!$E$40))*$Q$26*16/22.4*28*0</f>
        <v>0</v>
      </c>
      <c r="R85" s="2553">
        <f>(+R83*'CO2 - Destinação'!$G$28*'CO2 - Destinação'!$G$32+R83*(1-'CO2 - Destinação'!$G$28)*(1-'CO2 - Destinação'!$G$40))*$R$26*16/22.4*28*0</f>
        <v>0</v>
      </c>
      <c r="S85" s="2553">
        <f>(+S83*'CO2 - Destinação'!$H$28*'CO2 - Destinação'!$H$32+S83*(1-'CO2 - Destinação'!$H$28)*(1-'CO2 - Destinação'!$H$40))*$R$26*16/22.4*28*0</f>
        <v>0</v>
      </c>
      <c r="T85" s="2553">
        <f>(+T83*'CO2 - Destinação'!$I$28*'CO2 - Destinação'!$I$32+T83*(1-'CO2 - Destinação'!$I$28)*(1-'CO2 - Destinação'!$I$40))*$R$26*16/22.4*28*0</f>
        <v>0</v>
      </c>
      <c r="U85" s="2553">
        <f>(+U83*'CO2 - Destinação'!$J$28*'CO2 - Destinação'!$J$32+U83*(1-'CO2 - Destinação'!$J$28)*(1-'CO2 - Destinação'!$J$40))*$U$26*16/22.4*28*0</f>
        <v>0</v>
      </c>
      <c r="V85" s="2553">
        <f>(+V83*'CO2 - Destinação'!$K$28*'CO2 - Destinação'!K32+V83*(1-'CO2 - Destinação'!$K$28)*(1-'CO2 - Destinação'!$K$40))*$V$26*16/22.4*28*0</f>
        <v>0</v>
      </c>
      <c r="W85" s="2553">
        <f>(+W83*'CO2 - Destinação'!$K$28*'CO2 - Destinação'!L32+W83*(1-'CO2 - Destinação'!$K$28)*(1-'CO2 - Destinação'!$K$40))*$V$26*16/22.4*28*0</f>
        <v>0</v>
      </c>
      <c r="X85" s="2553">
        <f>(+X83*'CO2 - Destinação'!$M$28*'CO2 - Destinação'!M32+X83*(1-'CO2 - Destinação'!$M$28)*(1-'CO2 - Destinação'!$M$40))*$V$26*16/22.4*28*0</f>
        <v>0</v>
      </c>
      <c r="Y85" s="2554" t="s">
        <v>1322</v>
      </c>
      <c r="Z85" s="2062" t="s">
        <v>1414</v>
      </c>
      <c r="AA85" s="2433"/>
      <c r="AB85" s="2063"/>
      <c r="AC85" s="2448" t="str">
        <f t="shared" si="68"/>
        <v>Lixão não controlado</v>
      </c>
      <c r="AD85" s="2550">
        <f t="shared" si="69"/>
        <v>0</v>
      </c>
      <c r="AE85" s="2550">
        <f t="shared" si="69"/>
        <v>0</v>
      </c>
      <c r="AF85" s="2550">
        <f t="shared" si="69"/>
        <v>0</v>
      </c>
      <c r="AG85" s="2550">
        <f t="shared" si="69"/>
        <v>0</v>
      </c>
      <c r="AH85" s="2550">
        <f t="shared" si="69"/>
        <v>0</v>
      </c>
      <c r="AI85" s="2550">
        <f t="shared" si="69"/>
        <v>0</v>
      </c>
      <c r="AJ85" s="2550">
        <f t="shared" si="69"/>
        <v>0</v>
      </c>
      <c r="AK85" s="2550">
        <f t="shared" si="69"/>
        <v>0</v>
      </c>
    </row>
    <row r="86" spans="1:37" ht="18" customHeight="1" x14ac:dyDescent="0.2">
      <c r="A86" s="2437"/>
      <c r="B86" s="2549" t="s">
        <v>1109</v>
      </c>
      <c r="C86" s="2464"/>
      <c r="D86" s="2449">
        <f t="shared" ref="D86:K86" si="72">+$D$48-D75</f>
        <v>17213.400000000001</v>
      </c>
      <c r="E86" s="2449">
        <f t="shared" si="72"/>
        <v>12757.041999999999</v>
      </c>
      <c r="F86" s="2449">
        <f t="shared" si="72"/>
        <v>12757.041999999999</v>
      </c>
      <c r="G86" s="2449">
        <f t="shared" si="72"/>
        <v>12757.041999999999</v>
      </c>
      <c r="H86" s="2449">
        <f t="shared" si="72"/>
        <v>12757.041999999999</v>
      </c>
      <c r="I86" s="2449">
        <f t="shared" si="72"/>
        <v>12757.041999999999</v>
      </c>
      <c r="J86" s="2449">
        <f t="shared" si="72"/>
        <v>12757.041999999999</v>
      </c>
      <c r="K86" s="2449">
        <f t="shared" si="72"/>
        <v>12757.041999999999</v>
      </c>
      <c r="L86" s="2439" t="s">
        <v>1086</v>
      </c>
      <c r="M86" s="2431"/>
      <c r="N86" s="2558" t="s">
        <v>1366</v>
      </c>
      <c r="O86" s="2559"/>
      <c r="P86" s="2560"/>
      <c r="Q86" s="2544">
        <f>IF(Q71+Q72=0,Q66+Q84,Q78+Q84)</f>
        <v>35.264499999999998</v>
      </c>
      <c r="R86" s="2544">
        <f t="shared" ref="R86:X86" si="73">IF(R71+R72=0,R66+R84,R78+R84)</f>
        <v>35.264499999999998</v>
      </c>
      <c r="S86" s="2544">
        <f t="shared" si="73"/>
        <v>35.264499999999998</v>
      </c>
      <c r="T86" s="2544">
        <f t="shared" si="73"/>
        <v>35.264499999999998</v>
      </c>
      <c r="U86" s="2544">
        <f t="shared" si="73"/>
        <v>35.264499999999998</v>
      </c>
      <c r="V86" s="2544">
        <f t="shared" si="73"/>
        <v>35.264499999999998</v>
      </c>
      <c r="W86" s="2544">
        <f t="shared" si="73"/>
        <v>35.264499999999998</v>
      </c>
      <c r="X86" s="2544">
        <f t="shared" si="73"/>
        <v>35.264499999999998</v>
      </c>
      <c r="Y86" s="2506" t="s">
        <v>1322</v>
      </c>
      <c r="Z86" s="2063"/>
      <c r="AA86" s="2433"/>
      <c r="AB86" s="2063"/>
      <c r="AC86" s="2448" t="str">
        <f t="shared" si="68"/>
        <v>Aterro controlado</v>
      </c>
      <c r="AD86" s="2550">
        <f t="shared" si="69"/>
        <v>0</v>
      </c>
      <c r="AE86" s="2550">
        <f t="shared" si="69"/>
        <v>0</v>
      </c>
      <c r="AF86" s="2550">
        <f t="shared" si="69"/>
        <v>0</v>
      </c>
      <c r="AG86" s="2550">
        <f t="shared" si="69"/>
        <v>0</v>
      </c>
      <c r="AH86" s="2550">
        <f t="shared" si="69"/>
        <v>0</v>
      </c>
      <c r="AI86" s="2550">
        <f t="shared" si="69"/>
        <v>52922.54492561012</v>
      </c>
      <c r="AJ86" s="2550">
        <f t="shared" si="69"/>
        <v>26461.27246280506</v>
      </c>
      <c r="AK86" s="2550">
        <f t="shared" si="69"/>
        <v>26461.27246280506</v>
      </c>
    </row>
    <row r="87" spans="1:37" ht="18" customHeight="1" x14ac:dyDescent="0.2">
      <c r="A87" s="2437"/>
      <c r="B87" s="2549" t="s">
        <v>1110</v>
      </c>
      <c r="C87" s="2464"/>
      <c r="D87" s="2449">
        <f t="shared" ref="D87:K87" si="74">+$D$49-D76</f>
        <v>17739</v>
      </c>
      <c r="E87" s="2449">
        <f t="shared" si="74"/>
        <v>15373.8</v>
      </c>
      <c r="F87" s="2449">
        <f t="shared" si="74"/>
        <v>15373.8</v>
      </c>
      <c r="G87" s="2449">
        <f t="shared" si="74"/>
        <v>15373.8</v>
      </c>
      <c r="H87" s="2449">
        <f t="shared" si="74"/>
        <v>15373.8</v>
      </c>
      <c r="I87" s="2449">
        <f t="shared" si="74"/>
        <v>15373.8</v>
      </c>
      <c r="J87" s="2449">
        <f t="shared" si="74"/>
        <v>15373.8</v>
      </c>
      <c r="K87" s="2449">
        <f t="shared" si="74"/>
        <v>15373.8</v>
      </c>
      <c r="L87" s="2439" t="s">
        <v>1086</v>
      </c>
      <c r="M87" s="2431"/>
      <c r="N87" s="2561" t="s">
        <v>1423</v>
      </c>
      <c r="O87" s="2559"/>
      <c r="P87" s="2560"/>
      <c r="Q87" s="2544">
        <f>IF(Q71+Q72=0,0,(Q73*$C$3+Q74*$C$6)/1000)</f>
        <v>0</v>
      </c>
      <c r="R87" s="2544">
        <f t="shared" ref="R87:X87" si="75">IF(R71+R72=0,0,(R73*$C$3+R74*$C$6)/1000)</f>
        <v>0</v>
      </c>
      <c r="S87" s="2544">
        <f t="shared" si="75"/>
        <v>0</v>
      </c>
      <c r="T87" s="2544">
        <f t="shared" si="75"/>
        <v>0</v>
      </c>
      <c r="U87" s="2544">
        <f t="shared" si="75"/>
        <v>0</v>
      </c>
      <c r="V87" s="2544">
        <f t="shared" si="75"/>
        <v>0</v>
      </c>
      <c r="W87" s="2544">
        <f t="shared" si="75"/>
        <v>0</v>
      </c>
      <c r="X87" s="2544">
        <f t="shared" si="75"/>
        <v>0</v>
      </c>
      <c r="Y87" s="2506" t="s">
        <v>1322</v>
      </c>
      <c r="Z87" s="2063"/>
      <c r="AA87" s="2433"/>
      <c r="AB87" s="2063"/>
      <c r="AC87" s="2448" t="str">
        <f t="shared" si="68"/>
        <v>Aterro sanitário</v>
      </c>
      <c r="AD87" s="2550">
        <f t="shared" si="69"/>
        <v>167352.43851908133</v>
      </c>
      <c r="AE87" s="2550">
        <f t="shared" si="69"/>
        <v>53980.946707938478</v>
      </c>
      <c r="AF87" s="2550">
        <f t="shared" si="69"/>
        <v>53980.946707938478</v>
      </c>
      <c r="AG87" s="2550">
        <f t="shared" si="69"/>
        <v>53980.946707938478</v>
      </c>
      <c r="AH87" s="2550">
        <f t="shared" si="69"/>
        <v>57836.728615648368</v>
      </c>
      <c r="AI87" s="2550">
        <f t="shared" si="69"/>
        <v>0</v>
      </c>
      <c r="AJ87" s="2550">
        <f t="shared" si="69"/>
        <v>0</v>
      </c>
      <c r="AK87" s="2550">
        <f t="shared" si="69"/>
        <v>0</v>
      </c>
    </row>
    <row r="88" spans="1:37" ht="18" customHeight="1" x14ac:dyDescent="0.2">
      <c r="A88" s="2437"/>
      <c r="B88" s="2549" t="s">
        <v>50</v>
      </c>
      <c r="C88" s="2464"/>
      <c r="D88" s="2449">
        <f t="shared" ref="D88:K88" si="76">+$D$50-D77</f>
        <v>3504</v>
      </c>
      <c r="E88" s="2449">
        <f t="shared" si="76"/>
        <v>3504</v>
      </c>
      <c r="F88" s="2449">
        <f t="shared" si="76"/>
        <v>3504</v>
      </c>
      <c r="G88" s="2449">
        <f t="shared" si="76"/>
        <v>3504</v>
      </c>
      <c r="H88" s="2449">
        <f t="shared" si="76"/>
        <v>3504</v>
      </c>
      <c r="I88" s="2449">
        <f t="shared" si="76"/>
        <v>3504</v>
      </c>
      <c r="J88" s="2449">
        <f t="shared" si="76"/>
        <v>3504</v>
      </c>
      <c r="K88" s="2449">
        <f t="shared" si="76"/>
        <v>3504</v>
      </c>
      <c r="L88" s="2439" t="s">
        <v>1086</v>
      </c>
      <c r="M88" s="2431"/>
      <c r="N88" s="2437"/>
      <c r="O88" s="2063"/>
      <c r="P88" s="2063"/>
      <c r="Q88" s="2484"/>
      <c r="R88" s="2484"/>
      <c r="S88" s="2484"/>
      <c r="T88" s="2484"/>
      <c r="U88" s="2484"/>
      <c r="V88" s="2484"/>
      <c r="W88" s="2484"/>
      <c r="X88" s="2484"/>
      <c r="Y88" s="2062"/>
      <c r="Z88" s="2063"/>
      <c r="AA88" s="2433"/>
      <c r="AB88" s="2063"/>
      <c r="AC88" s="2448" t="str">
        <f t="shared" si="68"/>
        <v>Trat. biol + cobertura at.</v>
      </c>
      <c r="AD88" s="2550">
        <f t="shared" si="69"/>
        <v>0</v>
      </c>
      <c r="AE88" s="2550">
        <f t="shared" si="69"/>
        <v>0</v>
      </c>
      <c r="AF88" s="2550">
        <f t="shared" si="69"/>
        <v>0</v>
      </c>
      <c r="AG88" s="2550">
        <f t="shared" si="69"/>
        <v>0</v>
      </c>
      <c r="AH88" s="2550">
        <f t="shared" si="69"/>
        <v>2893.2878483493746</v>
      </c>
      <c r="AI88" s="2550">
        <f t="shared" si="69"/>
        <v>0</v>
      </c>
      <c r="AJ88" s="2550">
        <f t="shared" si="69"/>
        <v>0</v>
      </c>
      <c r="AK88" s="2550">
        <f t="shared" si="69"/>
        <v>0</v>
      </c>
    </row>
    <row r="89" spans="1:37" ht="18" customHeight="1" x14ac:dyDescent="0.2">
      <c r="A89" s="2437"/>
      <c r="B89" s="2549" t="s">
        <v>1111</v>
      </c>
      <c r="C89" s="2464"/>
      <c r="D89" s="2449">
        <f t="shared" ref="D89:K89" si="77">+$D$51-D78</f>
        <v>2686.4</v>
      </c>
      <c r="E89" s="2449">
        <f t="shared" si="77"/>
        <v>167.90000000000009</v>
      </c>
      <c r="F89" s="2449">
        <f t="shared" si="77"/>
        <v>167.90000000000009</v>
      </c>
      <c r="G89" s="2449">
        <f t="shared" si="77"/>
        <v>167.90000000000009</v>
      </c>
      <c r="H89" s="2449">
        <f t="shared" si="77"/>
        <v>167.90000000000009</v>
      </c>
      <c r="I89" s="2449">
        <f t="shared" si="77"/>
        <v>167.90000000000009</v>
      </c>
      <c r="J89" s="2449">
        <f t="shared" si="77"/>
        <v>167.90000000000009</v>
      </c>
      <c r="K89" s="2449">
        <f t="shared" si="77"/>
        <v>167.90000000000009</v>
      </c>
      <c r="L89" s="2439" t="s">
        <v>1086</v>
      </c>
      <c r="M89" s="2431"/>
      <c r="N89" s="2562" t="s">
        <v>1203</v>
      </c>
      <c r="O89" s="2563"/>
      <c r="P89" s="2564"/>
      <c r="Q89" s="2063"/>
      <c r="R89" s="2063"/>
      <c r="S89" s="2063"/>
      <c r="T89" s="2063"/>
      <c r="U89" s="2063"/>
      <c r="V89" s="2063"/>
      <c r="W89" s="2063"/>
      <c r="X89" s="2063"/>
      <c r="Y89" s="2063"/>
      <c r="Z89" s="2063"/>
      <c r="AA89" s="2433"/>
      <c r="AB89" s="2063"/>
      <c r="AC89" s="2448" t="str">
        <f t="shared" si="68"/>
        <v>CDR seco + rejeito aterro</v>
      </c>
      <c r="AD89" s="2550">
        <f t="shared" si="69"/>
        <v>0</v>
      </c>
      <c r="AE89" s="2550">
        <f t="shared" si="69"/>
        <v>1665.5152855001706</v>
      </c>
      <c r="AF89" s="2550">
        <f t="shared" si="69"/>
        <v>1665.5152855001706</v>
      </c>
      <c r="AG89" s="2550">
        <f t="shared" si="69"/>
        <v>1665.5152855001706</v>
      </c>
      <c r="AH89" s="2550">
        <f t="shared" si="69"/>
        <v>0</v>
      </c>
      <c r="AI89" s="2550">
        <f t="shared" si="69"/>
        <v>0</v>
      </c>
      <c r="AJ89" s="2550">
        <f t="shared" si="69"/>
        <v>0</v>
      </c>
      <c r="AK89" s="2550">
        <f t="shared" si="69"/>
        <v>0</v>
      </c>
    </row>
    <row r="90" spans="1:37" ht="18" customHeight="1" x14ac:dyDescent="0.2">
      <c r="A90" s="2437"/>
      <c r="B90" s="2549" t="s">
        <v>1112</v>
      </c>
      <c r="C90" s="2464"/>
      <c r="D90" s="2449">
        <f t="shared" ref="D90:K90" si="78">+$D$52-D79</f>
        <v>700.8</v>
      </c>
      <c r="E90" s="2449">
        <f t="shared" si="78"/>
        <v>43.800000000000068</v>
      </c>
      <c r="F90" s="2449">
        <f t="shared" si="78"/>
        <v>43.800000000000068</v>
      </c>
      <c r="G90" s="2449">
        <f t="shared" si="78"/>
        <v>43.800000000000068</v>
      </c>
      <c r="H90" s="2449">
        <f t="shared" si="78"/>
        <v>43.800000000000068</v>
      </c>
      <c r="I90" s="2449">
        <f t="shared" si="78"/>
        <v>43.800000000000068</v>
      </c>
      <c r="J90" s="2449">
        <f t="shared" si="78"/>
        <v>43.800000000000068</v>
      </c>
      <c r="K90" s="2449">
        <f t="shared" si="78"/>
        <v>43.800000000000068</v>
      </c>
      <c r="L90" s="2439" t="s">
        <v>1086</v>
      </c>
      <c r="M90" s="2431"/>
      <c r="N90" s="2565" t="s">
        <v>1424</v>
      </c>
      <c r="O90" s="2563"/>
      <c r="P90" s="2564"/>
      <c r="Q90" s="2566">
        <f>32.5*$C$3/1000</f>
        <v>2.4667500000000002</v>
      </c>
      <c r="R90" s="2566">
        <f t="shared" ref="R90:X90" si="79">32.5*$C$3/1000</f>
        <v>2.4667500000000002</v>
      </c>
      <c r="S90" s="2566">
        <f t="shared" si="79"/>
        <v>2.4667500000000002</v>
      </c>
      <c r="T90" s="2566">
        <f t="shared" si="79"/>
        <v>2.4667500000000002</v>
      </c>
      <c r="U90" s="2566">
        <f t="shared" si="79"/>
        <v>2.4667500000000002</v>
      </c>
      <c r="V90" s="2566">
        <f t="shared" si="79"/>
        <v>2.4667500000000002</v>
      </c>
      <c r="W90" s="2566">
        <f t="shared" si="79"/>
        <v>2.4667500000000002</v>
      </c>
      <c r="X90" s="2566">
        <f t="shared" si="79"/>
        <v>2.4667500000000002</v>
      </c>
      <c r="Y90" s="2062" t="s">
        <v>1322</v>
      </c>
      <c r="Z90" s="2063"/>
      <c r="AA90" s="2433"/>
      <c r="AB90" s="2063"/>
      <c r="AC90" s="2448" t="str">
        <f t="shared" si="68"/>
        <v>CDR seco + trat. biol.</v>
      </c>
      <c r="AD90" s="2550">
        <f t="shared" si="69"/>
        <v>0</v>
      </c>
      <c r="AE90" s="2550">
        <f t="shared" si="69"/>
        <v>-27656.768247659871</v>
      </c>
      <c r="AF90" s="2550">
        <f t="shared" si="69"/>
        <v>-33897.189438744288</v>
      </c>
      <c r="AG90" s="2550">
        <f t="shared" si="69"/>
        <v>-27558.720179825148</v>
      </c>
      <c r="AH90" s="2550">
        <f t="shared" si="69"/>
        <v>0</v>
      </c>
      <c r="AI90" s="2550">
        <f t="shared" si="69"/>
        <v>0</v>
      </c>
      <c r="AJ90" s="2550">
        <f t="shared" si="69"/>
        <v>0</v>
      </c>
      <c r="AK90" s="2550">
        <f t="shared" si="69"/>
        <v>0</v>
      </c>
    </row>
    <row r="91" spans="1:37" ht="18" customHeight="1" x14ac:dyDescent="0.2">
      <c r="A91" s="2437"/>
      <c r="B91" s="2549" t="s">
        <v>1113</v>
      </c>
      <c r="C91" s="2464"/>
      <c r="D91" s="2449">
        <f t="shared" ref="D91:K91" si="80">+$D$53-D80</f>
        <v>6497.0000000000009</v>
      </c>
      <c r="E91" s="2449">
        <f t="shared" si="80"/>
        <v>6497.0000000000009</v>
      </c>
      <c r="F91" s="2449">
        <f t="shared" si="80"/>
        <v>6497.0000000000009</v>
      </c>
      <c r="G91" s="2449">
        <f t="shared" si="80"/>
        <v>6497.0000000000009</v>
      </c>
      <c r="H91" s="2449">
        <f t="shared" si="80"/>
        <v>6497.0000000000009</v>
      </c>
      <c r="I91" s="2449">
        <f t="shared" si="80"/>
        <v>6497.0000000000009</v>
      </c>
      <c r="J91" s="2449">
        <f t="shared" si="80"/>
        <v>6497.0000000000009</v>
      </c>
      <c r="K91" s="2449">
        <f t="shared" si="80"/>
        <v>6497.0000000000009</v>
      </c>
      <c r="L91" s="2439" t="s">
        <v>1086</v>
      </c>
      <c r="M91" s="2431"/>
      <c r="N91" s="2567" t="s">
        <v>1425</v>
      </c>
      <c r="O91" s="2568"/>
      <c r="P91" s="2564"/>
      <c r="Q91" s="2566">
        <f>$D$144*$D$149*44/12*1000</f>
        <v>81.01946997934111</v>
      </c>
      <c r="R91" s="2566">
        <f>$E$144*$E$149*44/12*1000</f>
        <v>73.204738919990888</v>
      </c>
      <c r="S91" s="2566">
        <f>$G$144*$G$149*44/12*1000</f>
        <v>73.204738919990888</v>
      </c>
      <c r="T91" s="2566">
        <f>$G$144*$G$149*44/12*1000</f>
        <v>73.204738919990888</v>
      </c>
      <c r="U91" s="2566">
        <f>$H$144*$H$149*44/12*1000</f>
        <v>73.204738919990888</v>
      </c>
      <c r="V91" s="2566">
        <f>$I$144*$I$149*44/12*1000</f>
        <v>73.204738919990888</v>
      </c>
      <c r="W91" s="2566">
        <f>$I$144*$I$149*44/12*1000</f>
        <v>73.204738919990888</v>
      </c>
      <c r="X91" s="2566">
        <f>$I$144*$I$149*44/12*1000</f>
        <v>73.204738919990888</v>
      </c>
      <c r="Y91" s="2062" t="s">
        <v>1322</v>
      </c>
      <c r="Z91" s="2063"/>
      <c r="AA91" s="2433"/>
      <c r="AB91" s="2062"/>
      <c r="AC91" s="2448" t="str">
        <f t="shared" si="68"/>
        <v>CDR seco + CDR org.</v>
      </c>
      <c r="AD91" s="2550">
        <f t="shared" si="69"/>
        <v>0</v>
      </c>
      <c r="AE91" s="2550">
        <f t="shared" si="69"/>
        <v>0</v>
      </c>
      <c r="AF91" s="2550">
        <f t="shared" si="69"/>
        <v>0</v>
      </c>
      <c r="AG91" s="2550">
        <f t="shared" si="69"/>
        <v>0</v>
      </c>
      <c r="AH91" s="2550">
        <f t="shared" si="69"/>
        <v>0</v>
      </c>
      <c r="AI91" s="2550">
        <f t="shared" si="69"/>
        <v>-66496.777373580495</v>
      </c>
      <c r="AJ91" s="2550">
        <f t="shared" si="69"/>
        <v>0</v>
      </c>
      <c r="AK91" s="2550">
        <f t="shared" si="69"/>
        <v>0</v>
      </c>
    </row>
    <row r="92" spans="1:37" ht="18" customHeight="1" x14ac:dyDescent="0.2">
      <c r="A92" s="2437"/>
      <c r="B92" s="2549" t="s">
        <v>1426</v>
      </c>
      <c r="C92" s="2464"/>
      <c r="D92" s="2449">
        <f t="shared" ref="D92:K92" si="81">+$D$54</f>
        <v>1401.6</v>
      </c>
      <c r="E92" s="2449">
        <f t="shared" si="81"/>
        <v>1401.6</v>
      </c>
      <c r="F92" s="2449">
        <f t="shared" si="81"/>
        <v>1401.6</v>
      </c>
      <c r="G92" s="2449">
        <f t="shared" si="81"/>
        <v>1401.6</v>
      </c>
      <c r="H92" s="2449">
        <f t="shared" si="81"/>
        <v>1401.6</v>
      </c>
      <c r="I92" s="2449">
        <f t="shared" si="81"/>
        <v>1401.6</v>
      </c>
      <c r="J92" s="2449">
        <f t="shared" si="81"/>
        <v>1401.6</v>
      </c>
      <c r="K92" s="2449">
        <f t="shared" si="81"/>
        <v>1401.6</v>
      </c>
      <c r="L92" s="2439" t="s">
        <v>1086</v>
      </c>
      <c r="M92" s="2431"/>
      <c r="N92" s="2565" t="s">
        <v>1427</v>
      </c>
      <c r="O92" s="2563"/>
      <c r="P92" s="2564"/>
      <c r="Q92" s="2569">
        <f>$D$173*$D$179*$Q$25*1868</f>
        <v>64.810120640584131</v>
      </c>
      <c r="R92" s="2569">
        <f>$E$173*$E$179*$R$25*1868</f>
        <v>68.305101133569551</v>
      </c>
      <c r="S92" s="2569">
        <f>$G$173*$G$179*$R$25*1868</f>
        <v>68.305101133569551</v>
      </c>
      <c r="T92" s="2569">
        <f>$G$173*$G$179*$R$25*1868</f>
        <v>68.305101133569551</v>
      </c>
      <c r="U92" s="2569">
        <f>$H$173*$H$179*$U$25*1868</f>
        <v>68.305101133569551</v>
      </c>
      <c r="V92" s="2569">
        <f>$I$173*$I$179*$V$25*1868</f>
        <v>68.305101133569551</v>
      </c>
      <c r="W92" s="2569">
        <f>$I$173*$I$179*$V$25*1868</f>
        <v>68.305101133569551</v>
      </c>
      <c r="X92" s="2569">
        <f>$I$173*$I$179*$V$25*1868</f>
        <v>68.305101133569551</v>
      </c>
      <c r="Y92" s="2062" t="s">
        <v>1401</v>
      </c>
      <c r="Z92" s="2063"/>
      <c r="AA92" s="2433"/>
      <c r="AB92" s="2063"/>
      <c r="AC92" s="2448" t="str">
        <f>+AC56</f>
        <v>Incineração</v>
      </c>
      <c r="AD92" s="2550">
        <f t="shared" si="69"/>
        <v>0</v>
      </c>
      <c r="AE92" s="2550">
        <f t="shared" si="69"/>
        <v>0</v>
      </c>
      <c r="AF92" s="2550">
        <f t="shared" si="69"/>
        <v>0</v>
      </c>
      <c r="AG92" s="2550">
        <f t="shared" si="69"/>
        <v>0</v>
      </c>
      <c r="AH92" s="2550">
        <f t="shared" si="69"/>
        <v>0</v>
      </c>
      <c r="AI92" s="2550">
        <f t="shared" si="69"/>
        <v>0</v>
      </c>
      <c r="AJ92" s="2550">
        <f t="shared" si="69"/>
        <v>36717.737564836629</v>
      </c>
      <c r="AK92" s="2550">
        <f t="shared" si="69"/>
        <v>36717.737564836629</v>
      </c>
    </row>
    <row r="93" spans="1:37" ht="18" customHeight="1" x14ac:dyDescent="0.2">
      <c r="A93" s="2437"/>
      <c r="B93" s="2549" t="s">
        <v>1320</v>
      </c>
      <c r="C93" s="2464"/>
      <c r="D93" s="2449">
        <f t="shared" ref="D93:K93" si="82">+$D$55</f>
        <v>5840</v>
      </c>
      <c r="E93" s="2449">
        <f t="shared" si="82"/>
        <v>5840</v>
      </c>
      <c r="F93" s="2449">
        <f t="shared" si="82"/>
        <v>5840</v>
      </c>
      <c r="G93" s="2449">
        <f t="shared" si="82"/>
        <v>5840</v>
      </c>
      <c r="H93" s="2449">
        <f t="shared" si="82"/>
        <v>5840</v>
      </c>
      <c r="I93" s="2449">
        <f t="shared" si="82"/>
        <v>5840</v>
      </c>
      <c r="J93" s="2449">
        <f t="shared" si="82"/>
        <v>5840</v>
      </c>
      <c r="K93" s="2449">
        <f t="shared" si="82"/>
        <v>5840</v>
      </c>
      <c r="L93" s="2439" t="s">
        <v>1086</v>
      </c>
      <c r="M93" s="2431"/>
      <c r="N93" s="2565" t="s">
        <v>1341</v>
      </c>
      <c r="O93" s="2563"/>
      <c r="P93" s="2564"/>
      <c r="Q93" s="2566">
        <f>Q92*'CO2 - Destinação'!$E$28</f>
        <v>14.58227714413143</v>
      </c>
      <c r="R93" s="2566">
        <f>R92*'CO2 - Destinação'!$G$28</f>
        <v>15.36864775505315</v>
      </c>
      <c r="S93" s="2566">
        <f>S92*'CO2 - Destinação'!$H$28</f>
        <v>15.36864775505315</v>
      </c>
      <c r="T93" s="2566">
        <f>T92*'CO2 - Destinação'!$I$28</f>
        <v>15.36864775505315</v>
      </c>
      <c r="U93" s="2566">
        <f>U92*'CO2 - Destinação'!$J$28</f>
        <v>15.36864775505315</v>
      </c>
      <c r="V93" s="2566">
        <f>V92*'CO2 - Destinação'!$K$28</f>
        <v>15.36864775505315</v>
      </c>
      <c r="W93" s="2566">
        <f>W92*'CO2 - Destinação'!$K$28</f>
        <v>15.36864775505315</v>
      </c>
      <c r="X93" s="2566">
        <f>X92*'CO2 - Destinação'!$M$28</f>
        <v>15.36864775505315</v>
      </c>
      <c r="Y93" s="2062" t="s">
        <v>1401</v>
      </c>
      <c r="Z93" s="2063"/>
      <c r="AA93" s="2433"/>
      <c r="AB93" s="2028"/>
      <c r="AC93" s="2570"/>
      <c r="AD93" s="1843"/>
      <c r="AE93" s="1843"/>
      <c r="AF93" s="1843"/>
      <c r="AG93" s="1843"/>
      <c r="AH93" s="1843"/>
      <c r="AI93" s="1843"/>
      <c r="AJ93" s="1843"/>
      <c r="AK93" s="1843"/>
    </row>
    <row r="94" spans="1:37" ht="18" customHeight="1" x14ac:dyDescent="0.2">
      <c r="A94" s="2437"/>
      <c r="B94" s="2549" t="s">
        <v>1116</v>
      </c>
      <c r="C94" s="2464"/>
      <c r="D94" s="2449">
        <f t="shared" ref="D94:K94" si="83">+$D$56</f>
        <v>1065.8</v>
      </c>
      <c r="E94" s="2449">
        <f t="shared" si="83"/>
        <v>1065.8</v>
      </c>
      <c r="F94" s="2449">
        <f t="shared" si="83"/>
        <v>1065.8</v>
      </c>
      <c r="G94" s="2449">
        <f t="shared" si="83"/>
        <v>1065.8</v>
      </c>
      <c r="H94" s="2449">
        <f t="shared" si="83"/>
        <v>1065.8</v>
      </c>
      <c r="I94" s="2449">
        <f t="shared" si="83"/>
        <v>1065.8</v>
      </c>
      <c r="J94" s="2449">
        <f t="shared" si="83"/>
        <v>1065.8</v>
      </c>
      <c r="K94" s="2449">
        <f t="shared" si="83"/>
        <v>1065.8</v>
      </c>
      <c r="L94" s="2439" t="s">
        <v>1086</v>
      </c>
      <c r="M94" s="2431"/>
      <c r="N94" s="2565" t="s">
        <v>1428</v>
      </c>
      <c r="O94" s="2563"/>
      <c r="P94" s="2564"/>
      <c r="Q94" s="2566">
        <f>($Q$43+$Q$44+$Q$45)*$D$173</f>
        <v>2.2522446039289226</v>
      </c>
      <c r="R94" s="2566">
        <f>($R$43+$R$44+$R$45)*$E$173</f>
        <v>2.2949368506249965</v>
      </c>
      <c r="S94" s="2566">
        <f>($R$43+$R$44+$R$45)*$E$173</f>
        <v>2.2949368506249965</v>
      </c>
      <c r="T94" s="2566">
        <f>($R$43+$R$44+$R$45)*$E$173</f>
        <v>2.2949368506249965</v>
      </c>
      <c r="U94" s="2566">
        <f>($U$43+$U$44+$U$45)*$H$173</f>
        <v>2.2949368506249965</v>
      </c>
      <c r="V94" s="2571">
        <f>($V$43+$V$44+$V$45)*$I$173</f>
        <v>2.2949368506249965</v>
      </c>
      <c r="W94" s="2571">
        <f>($V$43+$V$44+$V$45)*$I$173</f>
        <v>2.2949368506249965</v>
      </c>
      <c r="X94" s="2571">
        <f>($V$43+$V$44+$V$45)*$I$173</f>
        <v>2.2949368506249965</v>
      </c>
      <c r="Y94" s="2488" t="s">
        <v>1322</v>
      </c>
      <c r="Z94" s="2062"/>
      <c r="AA94" s="2433"/>
      <c r="AB94" s="2028"/>
      <c r="AC94" s="2570"/>
      <c r="AD94" s="1843"/>
      <c r="AE94" s="1843"/>
      <c r="AF94" s="1843"/>
      <c r="AG94" s="1843"/>
      <c r="AH94" s="1843"/>
      <c r="AI94" s="1843"/>
      <c r="AJ94" s="1843"/>
      <c r="AK94" s="1843"/>
    </row>
    <row r="95" spans="1:37" ht="18" customHeight="1" x14ac:dyDescent="0.2">
      <c r="A95" s="2437"/>
      <c r="B95" s="2549" t="s">
        <v>1117</v>
      </c>
      <c r="C95" s="2464"/>
      <c r="D95" s="2449">
        <f t="shared" ref="D95:K95" si="84">+$D$57</f>
        <v>0</v>
      </c>
      <c r="E95" s="2449">
        <f t="shared" si="84"/>
        <v>0</v>
      </c>
      <c r="F95" s="2449">
        <f t="shared" si="84"/>
        <v>0</v>
      </c>
      <c r="G95" s="2449">
        <f t="shared" si="84"/>
        <v>0</v>
      </c>
      <c r="H95" s="2449">
        <f t="shared" si="84"/>
        <v>0</v>
      </c>
      <c r="I95" s="2449">
        <f t="shared" si="84"/>
        <v>0</v>
      </c>
      <c r="J95" s="2449">
        <f t="shared" si="84"/>
        <v>0</v>
      </c>
      <c r="K95" s="2449">
        <f t="shared" si="84"/>
        <v>0</v>
      </c>
      <c r="L95" s="2439" t="s">
        <v>1086</v>
      </c>
      <c r="M95" s="2431"/>
      <c r="N95" s="2565" t="s">
        <v>1429</v>
      </c>
      <c r="O95" s="2563"/>
      <c r="P95" s="2564"/>
      <c r="Q95" s="2566">
        <f>(Q93*'CO2 - Destinação'!$E$32+Q92*(1-'CO2 - Destinação'!$E$28)*(1-'CO2 - Destinação'!$E$40))*$Q$26*16/22.4*28</f>
        <v>497.25565061488186</v>
      </c>
      <c r="R95" s="2566">
        <f>(R93*'CO2 - Destinação'!$G$32+R92*(1-'CO2 - Destinação'!$G$28)*(1-'CO2 - Destinação'!$G$40))*$R$26*16/22.4*28</f>
        <v>524.07088844731254</v>
      </c>
      <c r="S95" s="2566">
        <f>(S93*'CO2 - Destinação'!$H$32+S92*(1-'CO2 - Destinação'!$H$28)*(1-'CO2 - Destinação'!$H$40))*$R$26*16/22.4*28</f>
        <v>524.07088844731254</v>
      </c>
      <c r="T95" s="2566">
        <f>(T93*'CO2 - Destinação'!$I$32+T92*(1-'CO2 - Destinação'!$I$28)*(1-'CO2 - Destinação'!$I$40))*$R$26*16/22.4*28</f>
        <v>524.07088844731254</v>
      </c>
      <c r="U95" s="2566">
        <f>(U93*'CO2 - Destinação'!$J$32+U92*(1-'CO2 - Destinação'!$J$28)*(1-'CO2 - Destinação'!$J$40))*$U$26*16/22.4*28</f>
        <v>524.07088844731254</v>
      </c>
      <c r="V95" s="2571">
        <f>(V93*'CO2 - Destinação'!$K$32+V92*(1-'CO2 - Destinação'!$K$28)*(1-'CO2 - Destinação'!$K$40))*$V$26*16/22.4*28</f>
        <v>524.07088844731254</v>
      </c>
      <c r="W95" s="2571">
        <f>(W93*'CO2 - Destinação'!$K$32+W92*(1-'CO2 - Destinação'!$K$28)*(1-'CO2 - Destinação'!$K$40))*$V$26*16/22.4*28</f>
        <v>524.07088844731254</v>
      </c>
      <c r="X95" s="2571">
        <f>(X93*'CO2 - Destinação'!$M$32+X92*(1-'CO2 - Destinação'!$M$28)*(1-'CO2 - Destinação'!$M$40))*$V$26*16/22.4*28</f>
        <v>524.07088844731254</v>
      </c>
      <c r="Y95" s="2488" t="s">
        <v>1322</v>
      </c>
      <c r="Z95" s="2063"/>
      <c r="AA95" s="2433"/>
      <c r="AB95" s="2028"/>
      <c r="AC95" s="2570"/>
      <c r="AD95" s="1843"/>
      <c r="AE95" s="1843"/>
      <c r="AF95" s="1843"/>
      <c r="AG95" s="1843"/>
      <c r="AH95" s="1843"/>
      <c r="AI95" s="2572"/>
      <c r="AJ95" s="2572"/>
      <c r="AK95" s="2572"/>
    </row>
    <row r="96" spans="1:37" ht="18" customHeight="1" x14ac:dyDescent="0.2">
      <c r="A96" s="2437"/>
      <c r="B96" s="2549" t="s">
        <v>1118</v>
      </c>
      <c r="C96" s="2464"/>
      <c r="D96" s="2449">
        <f t="shared" ref="D96:K96" si="85">+$D$58</f>
        <v>9577.6000000000022</v>
      </c>
      <c r="E96" s="2449">
        <f t="shared" si="85"/>
        <v>9577.6000000000022</v>
      </c>
      <c r="F96" s="2449">
        <f t="shared" si="85"/>
        <v>9577.6000000000022</v>
      </c>
      <c r="G96" s="2449">
        <f t="shared" si="85"/>
        <v>9577.6000000000022</v>
      </c>
      <c r="H96" s="2449">
        <f t="shared" si="85"/>
        <v>9577.6000000000022</v>
      </c>
      <c r="I96" s="2449">
        <f t="shared" si="85"/>
        <v>9577.6000000000022</v>
      </c>
      <c r="J96" s="2449">
        <f t="shared" si="85"/>
        <v>9577.6000000000022</v>
      </c>
      <c r="K96" s="2449">
        <f t="shared" si="85"/>
        <v>9577.6000000000022</v>
      </c>
      <c r="L96" s="2439" t="s">
        <v>1086</v>
      </c>
      <c r="M96" s="2431"/>
      <c r="N96" s="2562" t="s">
        <v>1366</v>
      </c>
      <c r="O96" s="2563"/>
      <c r="P96" s="2564"/>
      <c r="Q96" s="2573">
        <f t="shared" ref="Q96:X96" si="86">Q90+Q91+Q94+Q95</f>
        <v>582.99411519815192</v>
      </c>
      <c r="R96" s="2573">
        <f t="shared" si="86"/>
        <v>602.03731421792838</v>
      </c>
      <c r="S96" s="2573">
        <f t="shared" si="86"/>
        <v>602.03731421792838</v>
      </c>
      <c r="T96" s="2573">
        <f t="shared" si="86"/>
        <v>602.03731421792838</v>
      </c>
      <c r="U96" s="2573">
        <f t="shared" si="86"/>
        <v>602.03731421792838</v>
      </c>
      <c r="V96" s="2573">
        <f t="shared" si="86"/>
        <v>602.03731421792838</v>
      </c>
      <c r="W96" s="2573">
        <f t="shared" si="86"/>
        <v>602.03731421792838</v>
      </c>
      <c r="X96" s="2573">
        <f t="shared" si="86"/>
        <v>602.03731421792838</v>
      </c>
      <c r="Y96" s="2506" t="s">
        <v>1322</v>
      </c>
      <c r="Z96" s="2063"/>
      <c r="AA96" s="2433"/>
      <c r="AB96" s="2028"/>
      <c r="AC96" s="2570"/>
      <c r="AD96" s="1843"/>
      <c r="AE96" s="1843"/>
      <c r="AF96" s="1843"/>
      <c r="AG96" s="1843"/>
      <c r="AH96" s="1843"/>
      <c r="AI96" s="1843"/>
      <c r="AJ96" s="1843"/>
      <c r="AK96" s="1843"/>
    </row>
    <row r="97" spans="1:37" ht="18" customHeight="1" x14ac:dyDescent="0.2">
      <c r="A97" s="2437"/>
      <c r="B97" s="2529" t="s">
        <v>52</v>
      </c>
      <c r="C97" s="1988"/>
      <c r="D97" s="2330">
        <f t="shared" ref="D97:K97" si="87">+$D$44-D81</f>
        <v>141269.6</v>
      </c>
      <c r="E97" s="2330">
        <f t="shared" si="87"/>
        <v>131272.54199999999</v>
      </c>
      <c r="F97" s="2330">
        <f t="shared" si="87"/>
        <v>131272.54199999999</v>
      </c>
      <c r="G97" s="2330">
        <f t="shared" si="87"/>
        <v>131272.54199999999</v>
      </c>
      <c r="H97" s="2330">
        <f t="shared" si="87"/>
        <v>131272.54199999999</v>
      </c>
      <c r="I97" s="2330">
        <f t="shared" si="87"/>
        <v>131272.54199999999</v>
      </c>
      <c r="J97" s="2330">
        <f t="shared" si="87"/>
        <v>131272.54199999999</v>
      </c>
      <c r="K97" s="2330">
        <f t="shared" si="87"/>
        <v>131272.54199999999</v>
      </c>
      <c r="L97" s="2439" t="s">
        <v>1086</v>
      </c>
      <c r="M97" s="2431"/>
      <c r="N97" s="2574" t="s">
        <v>1352</v>
      </c>
      <c r="O97" s="2563"/>
      <c r="P97" s="2564"/>
      <c r="Q97" s="2566">
        <f>Q93*'CO2 - Destinação'!$E$33</f>
        <v>14.58227714413143</v>
      </c>
      <c r="R97" s="2566">
        <f>R93*'CO2 - Destinação'!$G$33</f>
        <v>15.36864775505315</v>
      </c>
      <c r="S97" s="2566">
        <f>S93*'CO2 - Destinação'!$H$33</f>
        <v>15.36864775505315</v>
      </c>
      <c r="T97" s="2566">
        <f>T93*'CO2 - Destinação'!$I$33</f>
        <v>15.36864775505315</v>
      </c>
      <c r="U97" s="2566">
        <f>U93*'CO2 - Destinação'!$J$33</f>
        <v>15.36864775505315</v>
      </c>
      <c r="V97" s="2566">
        <f>V93*'CO2 - Destinação'!$K$33</f>
        <v>15.36864775505315</v>
      </c>
      <c r="W97" s="2566">
        <f>W93*'CO2 - Destinação'!$K$33</f>
        <v>15.36864775505315</v>
      </c>
      <c r="X97" s="2566">
        <f>X93*'CO2 - Destinação'!$M$33</f>
        <v>15.36864775505315</v>
      </c>
      <c r="Y97" s="2488" t="s">
        <v>1401</v>
      </c>
      <c r="Z97" s="2062"/>
      <c r="AA97" s="2433"/>
      <c r="AB97" s="2028"/>
      <c r="AC97" s="2570"/>
      <c r="AD97" s="1843"/>
      <c r="AE97" s="1843"/>
      <c r="AF97" s="1843"/>
      <c r="AG97" s="1843"/>
      <c r="AH97" s="1843"/>
      <c r="AI97" s="1843"/>
      <c r="AJ97" s="1843"/>
      <c r="AK97" s="1843"/>
    </row>
    <row r="98" spans="1:37" ht="18" customHeight="1" x14ac:dyDescent="0.2">
      <c r="A98" s="2437"/>
      <c r="B98" s="2063"/>
      <c r="C98" s="2063"/>
      <c r="D98" s="2449">
        <f t="shared" ref="D98:J98" si="88">SUM(D84:D96)</f>
        <v>141269.6</v>
      </c>
      <c r="E98" s="2449">
        <f t="shared" si="88"/>
        <v>131272.54200000002</v>
      </c>
      <c r="F98" s="2449">
        <f t="shared" ref="F98" si="89">SUM(F84:F96)</f>
        <v>131272.54200000002</v>
      </c>
      <c r="G98" s="2449">
        <f t="shared" si="88"/>
        <v>131272.54200000002</v>
      </c>
      <c r="H98" s="2449">
        <f t="shared" si="88"/>
        <v>131272.54200000002</v>
      </c>
      <c r="I98" s="2449">
        <f t="shared" si="88"/>
        <v>131272.54200000002</v>
      </c>
      <c r="J98" s="2449">
        <f t="shared" si="88"/>
        <v>131272.54200000002</v>
      </c>
      <c r="K98" s="2449">
        <f t="shared" ref="K98" si="90">SUM(K84:K96)</f>
        <v>131272.54200000002</v>
      </c>
      <c r="L98" s="2439" t="s">
        <v>1086</v>
      </c>
      <c r="M98" s="2431"/>
      <c r="N98" s="2565" t="s">
        <v>1430</v>
      </c>
      <c r="O98" s="2563"/>
      <c r="P98" s="2564"/>
      <c r="Q98" s="2566">
        <f>Q93*'CO2 - Destinação'!$E$34</f>
        <v>0</v>
      </c>
      <c r="R98" s="2566">
        <f>R93*'CO2 - Destinação'!$G$34</f>
        <v>0</v>
      </c>
      <c r="S98" s="2566">
        <f>S93*'CO2 - Destinação'!$H$34</f>
        <v>0</v>
      </c>
      <c r="T98" s="2566">
        <f>T93*'CO2 - Destinação'!$I$34</f>
        <v>0</v>
      </c>
      <c r="U98" s="2566">
        <f>U93*'CO2 - Destinação'!$J$34</f>
        <v>0</v>
      </c>
      <c r="V98" s="2566">
        <f>V93*'CO2 - Destinação'!$K$34</f>
        <v>0</v>
      </c>
      <c r="W98" s="2566">
        <f>W93*'CO2 - Destinação'!$K$34</f>
        <v>0</v>
      </c>
      <c r="X98" s="2566">
        <f>X93*'CO2 - Destinação'!$M$34</f>
        <v>0</v>
      </c>
      <c r="Y98" s="2488" t="s">
        <v>1401</v>
      </c>
      <c r="Z98" s="2063"/>
      <c r="AA98" s="2433"/>
      <c r="AB98" s="2028"/>
      <c r="AC98" s="2570"/>
      <c r="AD98" s="1843"/>
      <c r="AE98" s="1843"/>
      <c r="AF98" s="1843"/>
      <c r="AG98" s="1843"/>
      <c r="AH98" s="1843"/>
      <c r="AI98" s="1843"/>
      <c r="AJ98" s="1843"/>
      <c r="AK98" s="1843"/>
    </row>
    <row r="99" spans="1:37" ht="18" customHeight="1" x14ac:dyDescent="0.2">
      <c r="A99" s="2427" t="s">
        <v>1431</v>
      </c>
      <c r="B99" s="2428"/>
      <c r="C99" s="2428"/>
      <c r="D99" s="2428"/>
      <c r="E99" s="2428"/>
      <c r="F99" s="2428"/>
      <c r="G99" s="2428"/>
      <c r="H99" s="2428"/>
      <c r="I99" s="2428"/>
      <c r="J99" s="2428"/>
      <c r="K99" s="2428"/>
      <c r="L99" s="2455"/>
      <c r="M99" s="2431"/>
      <c r="N99" s="2565" t="s">
        <v>1355</v>
      </c>
      <c r="O99" s="2563"/>
      <c r="P99" s="2564"/>
      <c r="Q99" s="2566">
        <f>Q93*'CO2 - Destinação'!$E$35</f>
        <v>0</v>
      </c>
      <c r="R99" s="2566">
        <f>R93*'CO2 - Destinação'!$G$35</f>
        <v>0</v>
      </c>
      <c r="S99" s="2566">
        <f>S93*'CO2 - Destinação'!$H$35</f>
        <v>0</v>
      </c>
      <c r="T99" s="2566">
        <f>T93*'CO2 - Destinação'!$I$35</f>
        <v>0</v>
      </c>
      <c r="U99" s="2566">
        <f>U93*'CO2 - Destinação'!$J$35</f>
        <v>0</v>
      </c>
      <c r="V99" s="2566">
        <f>V93*'CO2 - Destinação'!$K$35</f>
        <v>0</v>
      </c>
      <c r="W99" s="2566">
        <f>W93*'CO2 - Destinação'!$K$35</f>
        <v>0</v>
      </c>
      <c r="X99" s="2566">
        <f>X93*'CO2 - Destinação'!$M$35</f>
        <v>0</v>
      </c>
      <c r="Y99" s="2488" t="s">
        <v>1401</v>
      </c>
      <c r="Z99" s="2062"/>
      <c r="AA99" s="2433"/>
      <c r="AB99" s="2028"/>
      <c r="AC99" s="2570"/>
      <c r="AD99" s="1843"/>
      <c r="AE99" s="1843"/>
      <c r="AF99" s="1843"/>
      <c r="AG99" s="1843"/>
      <c r="AH99" s="1843"/>
      <c r="AI99" s="1843"/>
      <c r="AJ99" s="1843"/>
      <c r="AK99" s="1843"/>
    </row>
    <row r="100" spans="1:37" ht="18" customHeight="1" x14ac:dyDescent="0.2">
      <c r="A100" s="2063"/>
      <c r="B100" s="2063"/>
      <c r="C100" s="2063"/>
      <c r="D100" s="2063"/>
      <c r="E100" s="2063"/>
      <c r="F100" s="2063"/>
      <c r="G100" s="2063"/>
      <c r="H100" s="2063"/>
      <c r="I100" s="2063"/>
      <c r="J100" s="2063"/>
      <c r="K100" s="2063"/>
      <c r="L100" s="2495"/>
      <c r="M100" s="2431"/>
      <c r="N100" s="2565" t="s">
        <v>1432</v>
      </c>
      <c r="O100" s="2575"/>
      <c r="P100" s="2576"/>
      <c r="Q100" s="2566">
        <f t="shared" ref="Q100:X100" si="91">((Q98*$Q$26*10*$R$12*$C$3)+(Q99*$Q$26*10*$C$6))/1000</f>
        <v>0</v>
      </c>
      <c r="R100" s="2566">
        <f t="shared" si="91"/>
        <v>0</v>
      </c>
      <c r="S100" s="2566">
        <f t="shared" si="91"/>
        <v>0</v>
      </c>
      <c r="T100" s="2566">
        <f t="shared" si="91"/>
        <v>0</v>
      </c>
      <c r="U100" s="2566">
        <f t="shared" si="91"/>
        <v>0</v>
      </c>
      <c r="V100" s="2566">
        <f t="shared" si="91"/>
        <v>0</v>
      </c>
      <c r="W100" s="2566">
        <f t="shared" si="91"/>
        <v>0</v>
      </c>
      <c r="X100" s="2566">
        <f t="shared" si="91"/>
        <v>0</v>
      </c>
      <c r="Y100" s="2488" t="s">
        <v>1322</v>
      </c>
      <c r="Z100" s="2063"/>
      <c r="AA100" s="2433"/>
      <c r="AB100" s="2028"/>
      <c r="AC100" s="2570"/>
      <c r="AD100" s="1843"/>
      <c r="AE100" s="1843"/>
      <c r="AF100" s="1843"/>
      <c r="AG100" s="1843"/>
      <c r="AH100" s="1843"/>
      <c r="AI100" s="1843"/>
      <c r="AJ100" s="1843"/>
      <c r="AK100" s="1843"/>
    </row>
    <row r="101" spans="1:37" ht="18" customHeight="1" x14ac:dyDescent="0.2">
      <c r="A101" s="2063"/>
      <c r="B101" s="2529" t="s">
        <v>1433</v>
      </c>
      <c r="C101" s="2197"/>
      <c r="D101" s="2077" t="str">
        <f t="shared" ref="D101:K101" si="92">+D72</f>
        <v>Cenário-Base</v>
      </c>
      <c r="E101" s="2077" t="str">
        <f t="shared" si="92"/>
        <v>Biodigestão RT1A + CDR TM</v>
      </c>
      <c r="F101" s="2077" t="str">
        <f t="shared" si="92"/>
        <v>Biodigestão RT1B + CDR TM</v>
      </c>
      <c r="G101" s="2077" t="str">
        <f t="shared" si="92"/>
        <v>Biodigestão RT1C + CDR TM</v>
      </c>
      <c r="H101" s="2077" t="str">
        <f t="shared" si="92"/>
        <v>Compostagem + CDR TM</v>
      </c>
      <c r="I101" s="2077" t="str">
        <f t="shared" si="92"/>
        <v xml:space="preserve">Biosecagem + CDR TMB </v>
      </c>
      <c r="J101" s="2077" t="str">
        <f t="shared" si="92"/>
        <v>Incineração Mass Burning</v>
      </c>
      <c r="K101" s="2077" t="str">
        <f t="shared" si="92"/>
        <v>Incineração Mass Burn. Descentralizada</v>
      </c>
      <c r="L101" s="2495"/>
      <c r="M101" s="2431"/>
      <c r="N101" s="2565" t="s">
        <v>1434</v>
      </c>
      <c r="O101" s="2575"/>
      <c r="P101" s="2576"/>
      <c r="Q101" s="2577">
        <f>$D$144*($D$153+$D$154)/33.5*0.9*44/12*1000</f>
        <v>526.49754740147955</v>
      </c>
      <c r="R101" s="2577">
        <f>$E$144*($E$153+$E$154)/33.5*0.9*44/12*1000</f>
        <v>500.53762448082119</v>
      </c>
      <c r="S101" s="2577">
        <f>$E$144*($G$153+$G$154)/33.5*0.9*44/12*1000</f>
        <v>500.53762448082119</v>
      </c>
      <c r="T101" s="2577">
        <f>$E$144*($G$153+$G$154)/33.5*0.9*44/12*1000</f>
        <v>500.53762448082119</v>
      </c>
      <c r="U101" s="2577">
        <f>$H$144*($H$153+$H$154)/33.5*0.9*44/12*1000</f>
        <v>500.53762448082119</v>
      </c>
      <c r="V101" s="2577">
        <f>$I$144*($I$153+$I$154)/33.5*0.9*44/12*1000</f>
        <v>500.53762448082119</v>
      </c>
      <c r="W101" s="2577">
        <f>$I$144*($I$153+$I$154)/33.5*0.9*44/12*1000</f>
        <v>500.53762448082119</v>
      </c>
      <c r="X101" s="2577">
        <f>$I$144*($I$153+$I$154)/33.5*0.9*44/12*1000</f>
        <v>500.53762448082119</v>
      </c>
      <c r="Y101" s="2488" t="s">
        <v>1322</v>
      </c>
      <c r="Z101" s="2063"/>
      <c r="AA101" s="2433"/>
      <c r="AB101" s="2028"/>
      <c r="AC101" s="2570"/>
      <c r="AD101" s="1843"/>
      <c r="AE101" s="1843"/>
      <c r="AF101" s="1843"/>
      <c r="AG101" s="1843"/>
      <c r="AH101" s="1843"/>
      <c r="AI101" s="1843"/>
      <c r="AJ101" s="1843"/>
      <c r="AK101" s="1843"/>
    </row>
    <row r="102" spans="1:37" ht="18" customHeight="1" x14ac:dyDescent="0.2">
      <c r="A102" s="2063"/>
      <c r="B102" s="2549" t="s">
        <v>1107</v>
      </c>
      <c r="C102" s="2472"/>
      <c r="D102" s="2465">
        <f>+D84/IF(D$97=0,1,D$97)</f>
        <v>0.50020669698222409</v>
      </c>
      <c r="E102" s="2465">
        <f t="shared" ref="E102:K114" si="93">+E84/IF(E$97=0,1,E$97)</f>
        <v>0.5382999287086252</v>
      </c>
      <c r="F102" s="2465">
        <f t="shared" si="93"/>
        <v>0.5382999287086252</v>
      </c>
      <c r="G102" s="2465">
        <f t="shared" si="93"/>
        <v>0.5382999287086252</v>
      </c>
      <c r="H102" s="2465">
        <f t="shared" si="93"/>
        <v>0.5382999287086252</v>
      </c>
      <c r="I102" s="2465">
        <f t="shared" si="93"/>
        <v>0.5382999287086252</v>
      </c>
      <c r="J102" s="2465">
        <f t="shared" si="93"/>
        <v>0.5382999287086252</v>
      </c>
      <c r="K102" s="2465">
        <f t="shared" si="93"/>
        <v>0.5382999287086252</v>
      </c>
      <c r="L102" s="2439" t="s">
        <v>194</v>
      </c>
      <c r="M102" s="2431"/>
      <c r="N102" s="2562" t="s">
        <v>1435</v>
      </c>
      <c r="O102" s="2563"/>
      <c r="P102" s="2564"/>
      <c r="Q102" s="2573">
        <f>Q100+Q101</f>
        <v>526.49754740147955</v>
      </c>
      <c r="R102" s="2573">
        <f t="shared" ref="R102:X102" si="94">R100+R101</f>
        <v>500.53762448082119</v>
      </c>
      <c r="S102" s="2573">
        <f t="shared" si="94"/>
        <v>500.53762448082119</v>
      </c>
      <c r="T102" s="2573">
        <f t="shared" si="94"/>
        <v>500.53762448082119</v>
      </c>
      <c r="U102" s="2573">
        <f t="shared" si="94"/>
        <v>500.53762448082119</v>
      </c>
      <c r="V102" s="2573">
        <f t="shared" si="94"/>
        <v>500.53762448082119</v>
      </c>
      <c r="W102" s="2573">
        <f t="shared" si="94"/>
        <v>500.53762448082119</v>
      </c>
      <c r="X102" s="2573">
        <f t="shared" si="94"/>
        <v>500.53762448082119</v>
      </c>
      <c r="Y102" s="2506" t="s">
        <v>1322</v>
      </c>
      <c r="Z102" s="2063"/>
      <c r="AA102" s="2433"/>
      <c r="AB102" s="2028"/>
      <c r="AC102" s="2570"/>
      <c r="AD102" s="1843"/>
      <c r="AE102" s="1843"/>
      <c r="AF102" s="1843"/>
      <c r="AG102" s="1843"/>
      <c r="AH102" s="1843"/>
      <c r="AI102" s="1843"/>
      <c r="AJ102" s="1843"/>
      <c r="AK102" s="1843"/>
    </row>
    <row r="103" spans="1:37" ht="18" customHeight="1" x14ac:dyDescent="0.2">
      <c r="A103" s="2063"/>
      <c r="B103" s="2549" t="s">
        <v>1108</v>
      </c>
      <c r="C103" s="2472"/>
      <c r="D103" s="2465">
        <f t="shared" ref="D103:I114" si="95">+D85/IF(D$97=0,1,D$97)</f>
        <v>3.1004547333608929E-2</v>
      </c>
      <c r="E103" s="2465">
        <f t="shared" si="95"/>
        <v>3.3365698060451976E-2</v>
      </c>
      <c r="F103" s="2465">
        <f t="shared" si="93"/>
        <v>3.3365698060451976E-2</v>
      </c>
      <c r="G103" s="2465">
        <f t="shared" si="93"/>
        <v>3.3365698060451976E-2</v>
      </c>
      <c r="H103" s="2465">
        <f t="shared" si="95"/>
        <v>3.3365698060451976E-2</v>
      </c>
      <c r="I103" s="2465">
        <f t="shared" si="95"/>
        <v>3.3365698060451976E-2</v>
      </c>
      <c r="J103" s="2465">
        <f t="shared" si="93"/>
        <v>3.3365698060451976E-2</v>
      </c>
      <c r="K103" s="2465">
        <f t="shared" si="93"/>
        <v>3.3365698060451976E-2</v>
      </c>
      <c r="L103" s="2439" t="s">
        <v>194</v>
      </c>
      <c r="M103" s="2431"/>
      <c r="N103" s="2062"/>
      <c r="O103" s="2063"/>
      <c r="P103" s="2063"/>
      <c r="Q103" s="2063"/>
      <c r="R103" s="2063"/>
      <c r="S103" s="2063"/>
      <c r="T103" s="2063"/>
      <c r="U103" s="2063"/>
      <c r="V103" s="2063"/>
      <c r="W103" s="2063"/>
      <c r="X103" s="2063"/>
      <c r="Y103" s="2063"/>
      <c r="Z103" s="2063"/>
      <c r="AA103" s="2433"/>
      <c r="AB103" s="2028"/>
      <c r="AC103" s="2570"/>
      <c r="AD103" s="1843"/>
      <c r="AE103" s="1843"/>
      <c r="AF103" s="1843"/>
      <c r="AG103" s="1843"/>
      <c r="AH103" s="1843"/>
      <c r="AI103" s="1843"/>
      <c r="AJ103" s="1843"/>
      <c r="AK103" s="1843"/>
    </row>
    <row r="104" spans="1:37" ht="18" customHeight="1" x14ac:dyDescent="0.2">
      <c r="A104" s="2063"/>
      <c r="B104" s="2549" t="s">
        <v>1109</v>
      </c>
      <c r="C104" s="2472"/>
      <c r="D104" s="2465">
        <f t="shared" si="95"/>
        <v>0.1218478710210831</v>
      </c>
      <c r="E104" s="2465">
        <f t="shared" si="95"/>
        <v>9.7179819980937068E-2</v>
      </c>
      <c r="F104" s="2465">
        <f t="shared" si="93"/>
        <v>9.7179819980937068E-2</v>
      </c>
      <c r="G104" s="2465">
        <f t="shared" si="93"/>
        <v>9.7179819980937068E-2</v>
      </c>
      <c r="H104" s="2465">
        <f t="shared" si="95"/>
        <v>9.7179819980937068E-2</v>
      </c>
      <c r="I104" s="2465">
        <f t="shared" si="95"/>
        <v>9.7179819980937068E-2</v>
      </c>
      <c r="J104" s="2465">
        <f t="shared" si="93"/>
        <v>9.7179819980937068E-2</v>
      </c>
      <c r="K104" s="2465">
        <f t="shared" si="93"/>
        <v>9.7179819980937068E-2</v>
      </c>
      <c r="L104" s="2439" t="s">
        <v>194</v>
      </c>
      <c r="M104" s="2431"/>
      <c r="N104" s="2578" t="s">
        <v>1436</v>
      </c>
      <c r="O104" s="2579"/>
      <c r="P104" s="2580"/>
      <c r="Q104" s="2063"/>
      <c r="R104" s="2063"/>
      <c r="S104" s="2063"/>
      <c r="T104" s="2063"/>
      <c r="U104" s="2063"/>
      <c r="V104" s="2063"/>
      <c r="W104" s="2063"/>
      <c r="X104" s="2063"/>
      <c r="Y104" s="2063"/>
      <c r="Z104" s="2063"/>
      <c r="AA104" s="2433"/>
      <c r="AB104" s="2028"/>
      <c r="AC104" s="2570"/>
      <c r="AD104" s="1843"/>
      <c r="AE104" s="1843"/>
      <c r="AF104" s="1843"/>
      <c r="AG104" s="1843"/>
      <c r="AH104" s="1843"/>
      <c r="AI104" s="1843"/>
      <c r="AJ104" s="1843"/>
      <c r="AK104" s="1843"/>
    </row>
    <row r="105" spans="1:37" ht="18" customHeight="1" x14ac:dyDescent="0.2">
      <c r="A105" s="2063"/>
      <c r="B105" s="2549" t="s">
        <v>1110</v>
      </c>
      <c r="C105" s="2472"/>
      <c r="D105" s="2465">
        <f t="shared" si="95"/>
        <v>0.12556841670111615</v>
      </c>
      <c r="E105" s="2465">
        <f t="shared" si="95"/>
        <v>0.11711360019218643</v>
      </c>
      <c r="F105" s="2465">
        <f t="shared" si="93"/>
        <v>0.11711360019218643</v>
      </c>
      <c r="G105" s="2465">
        <f t="shared" si="93"/>
        <v>0.11711360019218643</v>
      </c>
      <c r="H105" s="2465">
        <f t="shared" si="95"/>
        <v>0.11711360019218643</v>
      </c>
      <c r="I105" s="2465">
        <f t="shared" si="95"/>
        <v>0.11711360019218643</v>
      </c>
      <c r="J105" s="2465">
        <f t="shared" si="93"/>
        <v>0.11711360019218643</v>
      </c>
      <c r="K105" s="2465">
        <f t="shared" si="93"/>
        <v>0.11711360019218643</v>
      </c>
      <c r="L105" s="2439" t="s">
        <v>194</v>
      </c>
      <c r="M105" s="2431"/>
      <c r="N105" s="2581" t="s">
        <v>1424</v>
      </c>
      <c r="O105" s="2579"/>
      <c r="P105" s="2580"/>
      <c r="Q105" s="2582">
        <f>32.5*$C$3/1000</f>
        <v>2.4667500000000002</v>
      </c>
      <c r="R105" s="2582">
        <f t="shared" ref="R105:X105" si="96">32.5*$C$3/1000</f>
        <v>2.4667500000000002</v>
      </c>
      <c r="S105" s="2582">
        <f t="shared" si="96"/>
        <v>2.4667500000000002</v>
      </c>
      <c r="T105" s="2582">
        <f t="shared" si="96"/>
        <v>2.4667500000000002</v>
      </c>
      <c r="U105" s="2582">
        <f t="shared" si="96"/>
        <v>2.4667500000000002</v>
      </c>
      <c r="V105" s="2582">
        <f t="shared" si="96"/>
        <v>2.4667500000000002</v>
      </c>
      <c r="W105" s="2582">
        <f t="shared" si="96"/>
        <v>2.4667500000000002</v>
      </c>
      <c r="X105" s="2582">
        <f t="shared" si="96"/>
        <v>2.4667500000000002</v>
      </c>
      <c r="Y105" s="2488" t="s">
        <v>1322</v>
      </c>
      <c r="Z105" s="2063"/>
      <c r="AA105" s="2433"/>
      <c r="AB105" s="2028"/>
      <c r="AC105" s="2570"/>
      <c r="AD105" s="1843"/>
      <c r="AE105" s="1843"/>
      <c r="AF105" s="1843"/>
      <c r="AG105" s="1843"/>
      <c r="AH105" s="1843"/>
      <c r="AI105" s="1843"/>
      <c r="AJ105" s="1843"/>
      <c r="AK105" s="1843"/>
    </row>
    <row r="106" spans="1:37" ht="18" customHeight="1" x14ac:dyDescent="0.2">
      <c r="A106" s="2063"/>
      <c r="B106" s="2549" t="s">
        <v>50</v>
      </c>
      <c r="C106" s="2472"/>
      <c r="D106" s="2465">
        <f t="shared" si="95"/>
        <v>2.4803637866887142E-2</v>
      </c>
      <c r="E106" s="2465">
        <f t="shared" si="95"/>
        <v>2.6692558448361579E-2</v>
      </c>
      <c r="F106" s="2465">
        <f t="shared" si="93"/>
        <v>2.6692558448361579E-2</v>
      </c>
      <c r="G106" s="2465">
        <f t="shared" si="93"/>
        <v>2.6692558448361579E-2</v>
      </c>
      <c r="H106" s="2465">
        <f t="shared" si="95"/>
        <v>2.6692558448361579E-2</v>
      </c>
      <c r="I106" s="2465">
        <f t="shared" si="95"/>
        <v>2.6692558448361579E-2</v>
      </c>
      <c r="J106" s="2465">
        <f t="shared" si="93"/>
        <v>2.6692558448361579E-2</v>
      </c>
      <c r="K106" s="2465">
        <f t="shared" si="93"/>
        <v>2.6692558448361579E-2</v>
      </c>
      <c r="L106" s="2439" t="s">
        <v>194</v>
      </c>
      <c r="M106" s="2431"/>
      <c r="N106" s="2583" t="s">
        <v>1437</v>
      </c>
      <c r="O106" s="2579"/>
      <c r="P106" s="2580"/>
      <c r="Q106" s="2584">
        <f>$D$144*$D$149*44/12*1000</f>
        <v>81.01946997934111</v>
      </c>
      <c r="R106" s="2584">
        <f>$E$144*$E$149*44/12*1000</f>
        <v>73.204738919990888</v>
      </c>
      <c r="S106" s="2584">
        <f>$G$144*$G$149*44/12*1000</f>
        <v>73.204738919990888</v>
      </c>
      <c r="T106" s="2584">
        <f>$G$144*$G$149*44/12*1000</f>
        <v>73.204738919990888</v>
      </c>
      <c r="U106" s="2584">
        <f>$H$144*$H$149*44/12*1000</f>
        <v>73.204738919990888</v>
      </c>
      <c r="V106" s="2584">
        <f>$I$144*$I$149*44/12*1000</f>
        <v>73.204738919990888</v>
      </c>
      <c r="W106" s="2584">
        <f>$I$144*$I$149*44/12*1000</f>
        <v>73.204738919990888</v>
      </c>
      <c r="X106" s="2584">
        <f>$I$144*$I$149*44/12*1000</f>
        <v>73.204738919990888</v>
      </c>
      <c r="Y106" s="2488" t="s">
        <v>1322</v>
      </c>
      <c r="Z106" s="2063"/>
      <c r="AA106" s="2433"/>
      <c r="AB106" s="2028"/>
      <c r="AC106" s="2570"/>
      <c r="AD106" s="1843"/>
      <c r="AE106" s="1843"/>
      <c r="AF106" s="1843"/>
      <c r="AG106" s="1843"/>
      <c r="AH106" s="1843"/>
      <c r="AI106" s="1843"/>
      <c r="AJ106" s="1843"/>
      <c r="AK106" s="1843"/>
    </row>
    <row r="107" spans="1:37" ht="18" customHeight="1" x14ac:dyDescent="0.2">
      <c r="A107" s="2063"/>
      <c r="B107" s="2549" t="s">
        <v>1111</v>
      </c>
      <c r="C107" s="2472"/>
      <c r="D107" s="2465">
        <f t="shared" si="95"/>
        <v>1.9016122364613478E-2</v>
      </c>
      <c r="E107" s="2465">
        <f t="shared" si="95"/>
        <v>1.2790184256506597E-3</v>
      </c>
      <c r="F107" s="2465">
        <f t="shared" si="93"/>
        <v>1.2790184256506597E-3</v>
      </c>
      <c r="G107" s="2465">
        <f t="shared" si="93"/>
        <v>1.2790184256506597E-3</v>
      </c>
      <c r="H107" s="2465">
        <f t="shared" si="95"/>
        <v>1.2790184256506597E-3</v>
      </c>
      <c r="I107" s="2465">
        <f t="shared" si="95"/>
        <v>1.2790184256506597E-3</v>
      </c>
      <c r="J107" s="2465">
        <f t="shared" si="93"/>
        <v>1.2790184256506597E-3</v>
      </c>
      <c r="K107" s="2465">
        <f t="shared" si="93"/>
        <v>1.2790184256506597E-3</v>
      </c>
      <c r="L107" s="2439" t="s">
        <v>194</v>
      </c>
      <c r="M107" s="2431"/>
      <c r="N107" s="2585" t="s">
        <v>1438</v>
      </c>
      <c r="O107" s="2586"/>
      <c r="P107" s="2587"/>
      <c r="Q107" s="2588"/>
      <c r="R107" s="2588"/>
      <c r="S107" s="2588"/>
      <c r="T107" s="2588"/>
      <c r="U107" s="2588"/>
      <c r="V107" s="2588"/>
      <c r="W107" s="2588"/>
      <c r="X107" s="2588"/>
      <c r="Y107" s="2488"/>
      <c r="Z107" s="2062"/>
      <c r="AA107" s="2433"/>
      <c r="AB107" s="2028"/>
      <c r="AC107" s="2570"/>
      <c r="AD107" s="1843"/>
      <c r="AE107" s="1843"/>
      <c r="AF107" s="1843"/>
      <c r="AG107" s="1843"/>
      <c r="AH107" s="1843"/>
      <c r="AI107" s="1843"/>
      <c r="AJ107" s="1843"/>
      <c r="AK107" s="1843"/>
    </row>
    <row r="108" spans="1:37" ht="18" customHeight="1" x14ac:dyDescent="0.2">
      <c r="A108" s="2063"/>
      <c r="B108" s="2549" t="s">
        <v>1112</v>
      </c>
      <c r="C108" s="2472"/>
      <c r="D108" s="2465">
        <f t="shared" si="95"/>
        <v>4.9607275733774278E-3</v>
      </c>
      <c r="E108" s="2465">
        <f t="shared" si="95"/>
        <v>3.3365698060452026E-4</v>
      </c>
      <c r="F108" s="2465">
        <f t="shared" si="93"/>
        <v>3.3365698060452026E-4</v>
      </c>
      <c r="G108" s="2465">
        <f t="shared" si="93"/>
        <v>3.3365698060452026E-4</v>
      </c>
      <c r="H108" s="2465">
        <f t="shared" si="95"/>
        <v>3.3365698060452026E-4</v>
      </c>
      <c r="I108" s="2465">
        <f t="shared" si="95"/>
        <v>3.3365698060452026E-4</v>
      </c>
      <c r="J108" s="2465">
        <f t="shared" si="93"/>
        <v>3.3365698060452026E-4</v>
      </c>
      <c r="K108" s="2465">
        <f t="shared" si="93"/>
        <v>3.3365698060452026E-4</v>
      </c>
      <c r="L108" s="2439" t="s">
        <v>194</v>
      </c>
      <c r="M108" s="2431"/>
      <c r="N108" s="2581" t="s">
        <v>1386</v>
      </c>
      <c r="O108" s="2589"/>
      <c r="P108" s="2587"/>
      <c r="Q108" s="2590">
        <v>0.35</v>
      </c>
      <c r="R108" s="2590">
        <v>0.35</v>
      </c>
      <c r="S108" s="2590">
        <v>0.35</v>
      </c>
      <c r="T108" s="2590">
        <v>0.35</v>
      </c>
      <c r="U108" s="2590">
        <v>0.35</v>
      </c>
      <c r="V108" s="2590">
        <v>0.35</v>
      </c>
      <c r="W108" s="2590">
        <v>0.35</v>
      </c>
      <c r="X108" s="2590">
        <v>0.35</v>
      </c>
      <c r="Y108" s="2488" t="s">
        <v>1328</v>
      </c>
      <c r="Z108" s="2063"/>
      <c r="AA108" s="2433"/>
      <c r="AB108" s="2028"/>
      <c r="AC108" s="2570"/>
      <c r="AD108" s="1843"/>
      <c r="AE108" s="1843"/>
      <c r="AF108" s="1843"/>
      <c r="AG108" s="1843"/>
      <c r="AH108" s="1843"/>
      <c r="AI108" s="1843"/>
      <c r="AJ108" s="1843"/>
      <c r="AK108" s="1843"/>
    </row>
    <row r="109" spans="1:37" ht="18" customHeight="1" x14ac:dyDescent="0.2">
      <c r="A109" s="2063"/>
      <c r="B109" s="2549" t="s">
        <v>1113</v>
      </c>
      <c r="C109" s="2472"/>
      <c r="D109" s="2465">
        <f t="shared" si="95"/>
        <v>4.599007854485325E-2</v>
      </c>
      <c r="E109" s="2465">
        <f t="shared" si="95"/>
        <v>4.9492452123003773E-2</v>
      </c>
      <c r="F109" s="2465">
        <f t="shared" si="93"/>
        <v>4.9492452123003773E-2</v>
      </c>
      <c r="G109" s="2465">
        <f t="shared" si="93"/>
        <v>4.9492452123003773E-2</v>
      </c>
      <c r="H109" s="2465">
        <f t="shared" si="95"/>
        <v>4.9492452123003773E-2</v>
      </c>
      <c r="I109" s="2465">
        <f t="shared" si="95"/>
        <v>4.9492452123003773E-2</v>
      </c>
      <c r="J109" s="2465">
        <f t="shared" si="93"/>
        <v>4.9492452123003773E-2</v>
      </c>
      <c r="K109" s="2465">
        <f t="shared" si="93"/>
        <v>4.9492452123003773E-2</v>
      </c>
      <c r="L109" s="2439" t="s">
        <v>194</v>
      </c>
      <c r="M109" s="2431"/>
      <c r="N109" s="2581" t="s">
        <v>1388</v>
      </c>
      <c r="O109" s="2591"/>
      <c r="P109" s="2580"/>
      <c r="Q109" s="2584">
        <f>$D$173*(0.82*28+0.045*265)</f>
        <v>24.260866267052496</v>
      </c>
      <c r="R109" s="2584">
        <f>$E$173*(0.82*28+0.045*265)</f>
        <v>24.72074122287508</v>
      </c>
      <c r="S109" s="2584">
        <f>$G$173*(0.82*28+0.045*265)</f>
        <v>24.72074122287508</v>
      </c>
      <c r="T109" s="2584">
        <f>$G$173*(0.82*28+0.045*265)</f>
        <v>24.72074122287508</v>
      </c>
      <c r="U109" s="2584">
        <f>$H$173*(0.82*28+0.045*265)</f>
        <v>24.72074122287508</v>
      </c>
      <c r="V109" s="2584">
        <f>$I$173*(0.82*28+0.045*265)</f>
        <v>24.72074122287508</v>
      </c>
      <c r="W109" s="2584">
        <f>$I$173*(0.82*28+0.045*265)</f>
        <v>24.72074122287508</v>
      </c>
      <c r="X109" s="2584">
        <f>$I$173*(0.82*28+0.045*265)</f>
        <v>24.72074122287508</v>
      </c>
      <c r="Y109" s="2488" t="s">
        <v>1322</v>
      </c>
      <c r="Z109" s="2062"/>
      <c r="AA109" s="2433"/>
      <c r="AB109" s="2028"/>
      <c r="AC109" s="2570"/>
      <c r="AD109" s="1843"/>
      <c r="AE109" s="1843"/>
      <c r="AF109" s="1843"/>
      <c r="AG109" s="1843"/>
      <c r="AH109" s="1843"/>
      <c r="AI109" s="1843"/>
      <c r="AJ109" s="1843"/>
      <c r="AK109" s="1843"/>
    </row>
    <row r="110" spans="1:37" ht="18" customHeight="1" x14ac:dyDescent="0.2">
      <c r="A110" s="2063"/>
      <c r="B110" s="2549" t="s">
        <v>1374</v>
      </c>
      <c r="C110" s="2472"/>
      <c r="D110" s="2465">
        <f t="shared" si="95"/>
        <v>9.9214551467548557E-3</v>
      </c>
      <c r="E110" s="2465">
        <f t="shared" si="95"/>
        <v>1.0677023379344631E-2</v>
      </c>
      <c r="F110" s="2465">
        <f t="shared" si="93"/>
        <v>1.0677023379344631E-2</v>
      </c>
      <c r="G110" s="2465">
        <f t="shared" si="93"/>
        <v>1.0677023379344631E-2</v>
      </c>
      <c r="H110" s="2465">
        <f t="shared" si="95"/>
        <v>1.0677023379344631E-2</v>
      </c>
      <c r="I110" s="2465">
        <f t="shared" si="95"/>
        <v>1.0677023379344631E-2</v>
      </c>
      <c r="J110" s="2465">
        <f t="shared" si="93"/>
        <v>1.0677023379344631E-2</v>
      </c>
      <c r="K110" s="2465">
        <f t="shared" si="93"/>
        <v>1.0677023379344631E-2</v>
      </c>
      <c r="L110" s="2439" t="s">
        <v>194</v>
      </c>
      <c r="M110" s="2431"/>
      <c r="N110" s="2581" t="s">
        <v>1390</v>
      </c>
      <c r="O110" s="2589"/>
      <c r="P110" s="2587"/>
      <c r="Q110" s="2582">
        <f>$D$173*5</f>
        <v>3.4772633319553532</v>
      </c>
      <c r="R110" s="2582">
        <f>$E$173*5</f>
        <v>3.5431763254801609</v>
      </c>
      <c r="S110" s="2582">
        <f>$G$173*5</f>
        <v>3.5431763254801609</v>
      </c>
      <c r="T110" s="2582">
        <f>$G$173*5</f>
        <v>3.5431763254801609</v>
      </c>
      <c r="U110" s="2582">
        <f>$H$173*5</f>
        <v>3.5431763254801609</v>
      </c>
      <c r="V110" s="2582">
        <f>$I$173*5</f>
        <v>3.5431763254801609</v>
      </c>
      <c r="W110" s="2582">
        <f>$I$173*5</f>
        <v>3.5431763254801609</v>
      </c>
      <c r="X110" s="2582">
        <f>$I$173*5</f>
        <v>3.5431763254801609</v>
      </c>
      <c r="Y110" s="2488" t="s">
        <v>1391</v>
      </c>
      <c r="Z110" s="2063"/>
      <c r="AA110" s="2433"/>
      <c r="AB110" s="2028"/>
      <c r="AC110" s="2570"/>
      <c r="AD110" s="1843"/>
      <c r="AE110" s="1843"/>
      <c r="AF110" s="1843"/>
      <c r="AG110" s="1843"/>
      <c r="AH110" s="1843"/>
      <c r="AI110" s="1843"/>
      <c r="AJ110" s="1843"/>
      <c r="AK110" s="1843"/>
    </row>
    <row r="111" spans="1:37" ht="18" customHeight="1" x14ac:dyDescent="0.2">
      <c r="A111" s="2063"/>
      <c r="B111" s="2549" t="s">
        <v>1320</v>
      </c>
      <c r="C111" s="2472"/>
      <c r="D111" s="2465">
        <f t="shared" si="95"/>
        <v>4.1339396444811903E-2</v>
      </c>
      <c r="E111" s="2465">
        <f t="shared" si="95"/>
        <v>4.4487597413935966E-2</v>
      </c>
      <c r="F111" s="2465">
        <f t="shared" si="93"/>
        <v>4.4487597413935966E-2</v>
      </c>
      <c r="G111" s="2465">
        <f t="shared" si="93"/>
        <v>4.4487597413935966E-2</v>
      </c>
      <c r="H111" s="2465">
        <f t="shared" si="95"/>
        <v>4.4487597413935966E-2</v>
      </c>
      <c r="I111" s="2465">
        <f t="shared" si="95"/>
        <v>4.4487597413935966E-2</v>
      </c>
      <c r="J111" s="2465">
        <f t="shared" si="93"/>
        <v>4.4487597413935966E-2</v>
      </c>
      <c r="K111" s="2465">
        <f t="shared" si="93"/>
        <v>4.4487597413935966E-2</v>
      </c>
      <c r="L111" s="2439" t="s">
        <v>194</v>
      </c>
      <c r="M111" s="2431"/>
      <c r="N111" s="2581" t="s">
        <v>1439</v>
      </c>
      <c r="O111" s="2592"/>
      <c r="P111" s="2587"/>
      <c r="Q111" s="2582">
        <f t="shared" ref="Q111:X111" si="97">+Q110*$C$3/1000</f>
        <v>0.26392428689541136</v>
      </c>
      <c r="R111" s="2582">
        <f t="shared" si="97"/>
        <v>0.26892708310394425</v>
      </c>
      <c r="S111" s="2582">
        <f t="shared" si="97"/>
        <v>0.26892708310394425</v>
      </c>
      <c r="T111" s="2582">
        <f t="shared" si="97"/>
        <v>0.26892708310394425</v>
      </c>
      <c r="U111" s="2582">
        <f t="shared" si="97"/>
        <v>0.26892708310394425</v>
      </c>
      <c r="V111" s="2582">
        <f t="shared" si="97"/>
        <v>0.26892708310394425</v>
      </c>
      <c r="W111" s="2582">
        <f t="shared" si="97"/>
        <v>0.26892708310394425</v>
      </c>
      <c r="X111" s="2582">
        <f t="shared" si="97"/>
        <v>0.26892708310394425</v>
      </c>
      <c r="Y111" s="2488" t="s">
        <v>1322</v>
      </c>
      <c r="Z111" s="2062"/>
      <c r="AA111" s="2433"/>
      <c r="AB111" s="2028"/>
      <c r="AC111" s="2570"/>
      <c r="AD111" s="1843"/>
      <c r="AE111" s="1843"/>
      <c r="AF111" s="1843"/>
      <c r="AG111" s="1843"/>
      <c r="AH111" s="1843"/>
      <c r="AI111" s="1843"/>
      <c r="AJ111" s="1843"/>
      <c r="AK111" s="1843"/>
    </row>
    <row r="112" spans="1:37" ht="18" customHeight="1" x14ac:dyDescent="0.2">
      <c r="A112" s="2063"/>
      <c r="B112" s="2549" t="s">
        <v>1116</v>
      </c>
      <c r="C112" s="2472"/>
      <c r="D112" s="2465">
        <f t="shared" si="95"/>
        <v>7.5444398511781722E-3</v>
      </c>
      <c r="E112" s="2465">
        <f t="shared" si="95"/>
        <v>8.1189865280433138E-3</v>
      </c>
      <c r="F112" s="2465">
        <f t="shared" si="93"/>
        <v>8.1189865280433138E-3</v>
      </c>
      <c r="G112" s="2465">
        <f t="shared" si="93"/>
        <v>8.1189865280433138E-3</v>
      </c>
      <c r="H112" s="2465">
        <f t="shared" si="95"/>
        <v>8.1189865280433138E-3</v>
      </c>
      <c r="I112" s="2465">
        <f t="shared" si="95"/>
        <v>8.1189865280433138E-3</v>
      </c>
      <c r="J112" s="2465">
        <f t="shared" si="93"/>
        <v>8.1189865280433138E-3</v>
      </c>
      <c r="K112" s="2465">
        <f t="shared" si="93"/>
        <v>8.1189865280433138E-3</v>
      </c>
      <c r="L112" s="2439" t="s">
        <v>194</v>
      </c>
      <c r="M112" s="2431"/>
      <c r="N112" s="2581" t="s">
        <v>1440</v>
      </c>
      <c r="O112" s="2589"/>
      <c r="P112" s="2587"/>
      <c r="Q112" s="2582">
        <f>Q109+Q111</f>
        <v>24.524790553947906</v>
      </c>
      <c r="R112" s="2582">
        <f t="shared" ref="R112:X112" si="98">R109+R111</f>
        <v>24.989668305979023</v>
      </c>
      <c r="S112" s="2582">
        <f t="shared" si="98"/>
        <v>24.989668305979023</v>
      </c>
      <c r="T112" s="2582">
        <f t="shared" si="98"/>
        <v>24.989668305979023</v>
      </c>
      <c r="U112" s="2582">
        <f t="shared" si="98"/>
        <v>24.989668305979023</v>
      </c>
      <c r="V112" s="2582">
        <f t="shared" si="98"/>
        <v>24.989668305979023</v>
      </c>
      <c r="W112" s="2582">
        <f t="shared" si="98"/>
        <v>24.989668305979023</v>
      </c>
      <c r="X112" s="2582">
        <f t="shared" si="98"/>
        <v>24.989668305979023</v>
      </c>
      <c r="Y112" s="2488" t="s">
        <v>1322</v>
      </c>
      <c r="Z112" s="2062"/>
      <c r="AA112" s="2433"/>
      <c r="AB112" s="2028"/>
      <c r="AC112" s="2570"/>
      <c r="AD112" s="1843"/>
      <c r="AE112" s="1843"/>
      <c r="AF112" s="1843"/>
      <c r="AG112" s="1843"/>
      <c r="AH112" s="1843"/>
      <c r="AI112" s="1843"/>
      <c r="AJ112" s="1843"/>
      <c r="AK112" s="1843"/>
    </row>
    <row r="113" spans="1:37" ht="18" customHeight="1" x14ac:dyDescent="0.2">
      <c r="A113" s="2063"/>
      <c r="B113" s="2549" t="s">
        <v>1117</v>
      </c>
      <c r="C113" s="2472"/>
      <c r="D113" s="2465">
        <f t="shared" si="95"/>
        <v>0</v>
      </c>
      <c r="E113" s="2465">
        <f t="shared" si="95"/>
        <v>0</v>
      </c>
      <c r="F113" s="2465">
        <f t="shared" si="93"/>
        <v>0</v>
      </c>
      <c r="G113" s="2465">
        <f t="shared" si="93"/>
        <v>0</v>
      </c>
      <c r="H113" s="2465">
        <f t="shared" si="95"/>
        <v>0</v>
      </c>
      <c r="I113" s="2465">
        <f t="shared" si="95"/>
        <v>0</v>
      </c>
      <c r="J113" s="2465">
        <f t="shared" si="93"/>
        <v>0</v>
      </c>
      <c r="K113" s="2465">
        <f t="shared" si="93"/>
        <v>0</v>
      </c>
      <c r="L113" s="2439" t="s">
        <v>194</v>
      </c>
      <c r="M113" s="2431"/>
      <c r="N113" s="2585" t="s">
        <v>1397</v>
      </c>
      <c r="O113" s="2589"/>
      <c r="P113" s="2587"/>
      <c r="Q113" s="2588"/>
      <c r="R113" s="2588"/>
      <c r="S113" s="2588"/>
      <c r="T113" s="2588"/>
      <c r="U113" s="2588"/>
      <c r="V113" s="2588"/>
      <c r="W113" s="2588"/>
      <c r="X113" s="2588"/>
      <c r="Y113" s="2488"/>
      <c r="Z113" s="2062"/>
      <c r="AA113" s="2433"/>
      <c r="AB113" s="2028"/>
      <c r="AC113" s="2570"/>
      <c r="AD113" s="1843"/>
      <c r="AE113" s="1843"/>
      <c r="AF113" s="1843"/>
      <c r="AG113" s="1843"/>
      <c r="AH113" s="1843"/>
      <c r="AI113" s="1843"/>
      <c r="AJ113" s="1843"/>
      <c r="AK113" s="1843"/>
    </row>
    <row r="114" spans="1:37" ht="18" customHeight="1" x14ac:dyDescent="0.2">
      <c r="A114" s="2063"/>
      <c r="B114" s="2549" t="s">
        <v>1118</v>
      </c>
      <c r="C114" s="2472"/>
      <c r="D114" s="2465">
        <f t="shared" si="95"/>
        <v>6.7796610169491539E-2</v>
      </c>
      <c r="E114" s="2465">
        <f t="shared" si="95"/>
        <v>7.2959659758855003E-2</v>
      </c>
      <c r="F114" s="2465">
        <f t="shared" si="93"/>
        <v>7.2959659758855003E-2</v>
      </c>
      <c r="G114" s="2465">
        <f t="shared" si="93"/>
        <v>7.2959659758855003E-2</v>
      </c>
      <c r="H114" s="2465">
        <f t="shared" si="95"/>
        <v>7.2959659758855003E-2</v>
      </c>
      <c r="I114" s="2593">
        <f t="shared" si="95"/>
        <v>7.2959659758855003E-2</v>
      </c>
      <c r="J114" s="2593">
        <f t="shared" si="93"/>
        <v>7.2959659758855003E-2</v>
      </c>
      <c r="K114" s="2593">
        <f t="shared" si="93"/>
        <v>7.2959659758855003E-2</v>
      </c>
      <c r="L114" s="2439" t="s">
        <v>194</v>
      </c>
      <c r="M114" s="2431"/>
      <c r="N114" s="2581" t="s">
        <v>1399</v>
      </c>
      <c r="O114" s="2589"/>
      <c r="P114" s="2587"/>
      <c r="Q114" s="2590">
        <f>Q108</f>
        <v>0.35</v>
      </c>
      <c r="R114" s="2590">
        <f t="shared" ref="R114:X114" si="99">R108</f>
        <v>0.35</v>
      </c>
      <c r="S114" s="2590">
        <f t="shared" si="99"/>
        <v>0.35</v>
      </c>
      <c r="T114" s="2590">
        <f t="shared" si="99"/>
        <v>0.35</v>
      </c>
      <c r="U114" s="2590">
        <f t="shared" si="99"/>
        <v>0.35</v>
      </c>
      <c r="V114" s="2590">
        <f t="shared" si="99"/>
        <v>0.35</v>
      </c>
      <c r="W114" s="2590">
        <f t="shared" si="99"/>
        <v>0.35</v>
      </c>
      <c r="X114" s="2590">
        <f t="shared" si="99"/>
        <v>0.35</v>
      </c>
      <c r="Y114" s="2488" t="s">
        <v>1441</v>
      </c>
      <c r="Z114" s="2062"/>
      <c r="AA114" s="2433"/>
      <c r="AB114" s="2028"/>
      <c r="AC114" s="2570"/>
      <c r="AD114" s="1843"/>
      <c r="AE114" s="1843"/>
      <c r="AF114" s="1843"/>
      <c r="AG114" s="1843"/>
      <c r="AH114" s="1843"/>
      <c r="AI114" s="1843"/>
      <c r="AJ114" s="1843"/>
      <c r="AK114" s="1843"/>
    </row>
    <row r="115" spans="1:37" ht="18" customHeight="1" x14ac:dyDescent="0.2">
      <c r="A115" s="2437"/>
      <c r="B115" s="2529" t="s">
        <v>52</v>
      </c>
      <c r="C115" s="2504"/>
      <c r="D115" s="2594">
        <f t="shared" ref="D115:K115" si="100">SUM(D102:D114)</f>
        <v>1</v>
      </c>
      <c r="E115" s="2594">
        <f t="shared" si="100"/>
        <v>1.0000000000000002</v>
      </c>
      <c r="F115" s="2594">
        <f t="shared" si="100"/>
        <v>1.0000000000000002</v>
      </c>
      <c r="G115" s="2594">
        <f t="shared" si="100"/>
        <v>1.0000000000000002</v>
      </c>
      <c r="H115" s="2594">
        <f t="shared" si="100"/>
        <v>1.0000000000000002</v>
      </c>
      <c r="I115" s="2595">
        <f t="shared" si="100"/>
        <v>1.0000000000000002</v>
      </c>
      <c r="J115" s="2595">
        <f t="shared" si="100"/>
        <v>1.0000000000000002</v>
      </c>
      <c r="K115" s="2595">
        <f t="shared" si="100"/>
        <v>1.0000000000000002</v>
      </c>
      <c r="L115" s="2439" t="s">
        <v>194</v>
      </c>
      <c r="M115" s="2431"/>
      <c r="N115" s="2581" t="s">
        <v>1442</v>
      </c>
      <c r="O115" s="2589"/>
      <c r="P115" s="2587"/>
      <c r="Q115" s="2596">
        <f>$D$173*$D$179*Q114*1868</f>
        <v>45.367084448408889</v>
      </c>
      <c r="R115" s="2596">
        <f>$E$173*$E$179*R114*1868</f>
        <v>47.813570793498684</v>
      </c>
      <c r="S115" s="2596">
        <f>$G$173*$G$179*S114*1868</f>
        <v>47.813570793498684</v>
      </c>
      <c r="T115" s="2596">
        <f>$G$173*$G$179*T114*1868</f>
        <v>47.813570793498684</v>
      </c>
      <c r="U115" s="2596">
        <f>$H$173*$H$179*U114*1868</f>
        <v>47.813570793498684</v>
      </c>
      <c r="V115" s="2596">
        <f>$I$173*$I$179*V114*1868</f>
        <v>47.813570793498684</v>
      </c>
      <c r="W115" s="2596">
        <f>$I$173*$I$179*W114*1868</f>
        <v>47.813570793498684</v>
      </c>
      <c r="X115" s="2596">
        <f>$I$173*$I$179*X114*1868</f>
        <v>47.813570793498684</v>
      </c>
      <c r="Y115" s="2488" t="s">
        <v>1401</v>
      </c>
      <c r="Z115" s="2062"/>
      <c r="AA115" s="2433"/>
      <c r="AB115" s="2028"/>
      <c r="AC115" s="2570"/>
      <c r="AD115" s="1843"/>
      <c r="AE115" s="1843"/>
      <c r="AF115" s="1843"/>
      <c r="AG115" s="1843"/>
      <c r="AH115" s="1843"/>
      <c r="AI115" s="1843"/>
      <c r="AJ115" s="1843"/>
      <c r="AK115" s="1843"/>
    </row>
    <row r="116" spans="1:37" ht="18" customHeight="1" x14ac:dyDescent="0.2">
      <c r="A116" s="2063"/>
      <c r="B116" s="2063"/>
      <c r="C116" s="2063"/>
      <c r="D116" s="2063"/>
      <c r="E116" s="2063"/>
      <c r="F116" s="2063"/>
      <c r="G116" s="2063"/>
      <c r="H116" s="2063"/>
      <c r="I116" s="2063"/>
      <c r="J116" s="2063"/>
      <c r="K116" s="2063"/>
      <c r="L116" s="2063"/>
      <c r="M116" s="2431"/>
      <c r="N116" s="2581" t="s">
        <v>1443</v>
      </c>
      <c r="O116" s="2589"/>
      <c r="P116" s="2587"/>
      <c r="Q116" s="2590">
        <v>0.6</v>
      </c>
      <c r="R116" s="2590">
        <v>0.6</v>
      </c>
      <c r="S116" s="2590">
        <v>0.6</v>
      </c>
      <c r="T116" s="2590">
        <v>0.6</v>
      </c>
      <c r="U116" s="2590">
        <v>0.6</v>
      </c>
      <c r="V116" s="2590">
        <v>0.6</v>
      </c>
      <c r="W116" s="2590">
        <v>0.6</v>
      </c>
      <c r="X116" s="2590">
        <v>0.6</v>
      </c>
      <c r="Y116" s="2488" t="s">
        <v>1404</v>
      </c>
      <c r="Z116" s="2062"/>
      <c r="AA116" s="2433"/>
      <c r="AB116" s="2028"/>
      <c r="AC116" s="2570"/>
      <c r="AD116" s="1843"/>
      <c r="AE116" s="1843"/>
      <c r="AF116" s="1843"/>
      <c r="AG116" s="1843"/>
      <c r="AH116" s="1843"/>
      <c r="AI116" s="1843"/>
      <c r="AJ116" s="1843"/>
      <c r="AK116" s="1843"/>
    </row>
    <row r="117" spans="1:37" ht="18" customHeight="1" x14ac:dyDescent="0.2">
      <c r="A117" s="1987" t="s">
        <v>1444</v>
      </c>
      <c r="B117" s="2597"/>
      <c r="C117" s="2063"/>
      <c r="D117" s="2063"/>
      <c r="E117" s="2063"/>
      <c r="F117" s="2063"/>
      <c r="G117" s="2063"/>
      <c r="H117" s="2063"/>
      <c r="I117" s="2063"/>
      <c r="J117" s="2063"/>
      <c r="K117" s="2063"/>
      <c r="L117" s="2063"/>
      <c r="M117" s="2431"/>
      <c r="N117" s="2581" t="s">
        <v>1405</v>
      </c>
      <c r="O117" s="2589"/>
      <c r="P117" s="2587"/>
      <c r="Q117" s="2582">
        <f>Q115*'CO2 - Destinação'!$E$51</f>
        <v>0</v>
      </c>
      <c r="R117" s="2582">
        <f>R115*'CO2 - Destinação'!$G$51</f>
        <v>47.813570793498684</v>
      </c>
      <c r="S117" s="2582">
        <f>S115*'CO2 - Destinação'!$H$51</f>
        <v>0</v>
      </c>
      <c r="T117" s="2582">
        <f>T115*'CO2 - Destinação'!$I$51</f>
        <v>0</v>
      </c>
      <c r="U117" s="2582">
        <f>U115*'CO2 - Destinação'!$J$51</f>
        <v>0</v>
      </c>
      <c r="V117" s="2582">
        <f>V115*'CO2 - Destinação'!$K$51</f>
        <v>0</v>
      </c>
      <c r="W117" s="2582">
        <f>W115*'CO2 - Destinação'!$K$51</f>
        <v>0</v>
      </c>
      <c r="X117" s="2582">
        <f>X115*'CO2 - Destinação'!$M$51</f>
        <v>0</v>
      </c>
      <c r="Y117" s="2488" t="s">
        <v>1401</v>
      </c>
      <c r="Z117" s="2062"/>
      <c r="AA117" s="2433"/>
      <c r="AB117" s="2028"/>
      <c r="AC117" s="2570"/>
      <c r="AD117" s="1843"/>
      <c r="AE117" s="1843"/>
      <c r="AF117" s="1843"/>
      <c r="AG117" s="1843"/>
      <c r="AH117" s="1843"/>
      <c r="AI117" s="1843"/>
      <c r="AJ117" s="1843"/>
      <c r="AK117" s="1843"/>
    </row>
    <row r="118" spans="1:37" ht="18" customHeight="1" x14ac:dyDescent="0.2">
      <c r="A118" s="2063"/>
      <c r="B118" s="2598" t="s">
        <v>1445</v>
      </c>
      <c r="C118" s="2197"/>
      <c r="D118" s="2077" t="str">
        <f t="shared" ref="D118:K118" si="101">+D72</f>
        <v>Cenário-Base</v>
      </c>
      <c r="E118" s="2077" t="str">
        <f t="shared" si="101"/>
        <v>Biodigestão RT1A + CDR TM</v>
      </c>
      <c r="F118" s="2077" t="str">
        <f t="shared" si="101"/>
        <v>Biodigestão RT1B + CDR TM</v>
      </c>
      <c r="G118" s="2077" t="str">
        <f t="shared" si="101"/>
        <v>Biodigestão RT1C + CDR TM</v>
      </c>
      <c r="H118" s="2077" t="str">
        <f t="shared" si="101"/>
        <v>Compostagem + CDR TM</v>
      </c>
      <c r="I118" s="2077" t="str">
        <f t="shared" si="101"/>
        <v xml:space="preserve">Biosecagem + CDR TMB </v>
      </c>
      <c r="J118" s="2077" t="str">
        <f t="shared" si="101"/>
        <v>Incineração Mass Burning</v>
      </c>
      <c r="K118" s="2077" t="str">
        <f t="shared" si="101"/>
        <v>Incineração Mass Burn. Descentralizada</v>
      </c>
      <c r="L118" s="2063"/>
      <c r="M118" s="2431"/>
      <c r="N118" s="2581" t="s">
        <v>1446</v>
      </c>
      <c r="O118" s="2589"/>
      <c r="P118" s="2587"/>
      <c r="Q118" s="2582">
        <f>Q115*'CO2 - Destinação'!$E$52</f>
        <v>0</v>
      </c>
      <c r="R118" s="2582">
        <f>R115*'CO2 - Destinação'!$G$52</f>
        <v>0</v>
      </c>
      <c r="S118" s="2582">
        <f>S115*'CO2 - Destinação'!$H$52</f>
        <v>47.813570793498684</v>
      </c>
      <c r="T118" s="2582">
        <f>T115*'CO2 - Destinação'!$I$52</f>
        <v>47.813570793498684</v>
      </c>
      <c r="U118" s="2582">
        <f>U115*'CO2 - Destinação'!$J$52</f>
        <v>0</v>
      </c>
      <c r="V118" s="2582">
        <f>V115*'CO2 - Destinação'!$K$52</f>
        <v>0</v>
      </c>
      <c r="W118" s="2582">
        <f>W115*'CO2 - Destinação'!$K$52</f>
        <v>0</v>
      </c>
      <c r="X118" s="2582">
        <f>X115*'CO2 - Destinação'!$M$52</f>
        <v>0</v>
      </c>
      <c r="Y118" s="2488" t="s">
        <v>1401</v>
      </c>
      <c r="Z118" s="2062"/>
      <c r="AA118" s="2433"/>
      <c r="AB118" s="2028"/>
      <c r="AC118" s="2570"/>
      <c r="AD118" s="1843"/>
      <c r="AE118" s="1843"/>
      <c r="AF118" s="1843"/>
      <c r="AG118" s="1843"/>
      <c r="AH118" s="1843"/>
      <c r="AI118" s="1843"/>
      <c r="AJ118" s="1843"/>
      <c r="AK118" s="1843"/>
    </row>
    <row r="119" spans="1:37" ht="18" customHeight="1" x14ac:dyDescent="0.2">
      <c r="A119" s="2063"/>
      <c r="B119" s="2549" t="s">
        <v>1447</v>
      </c>
      <c r="C119" s="2472"/>
      <c r="D119" s="2474">
        <f t="shared" ref="D119:K119" si="102">+D102*$C$11+D103*$C$12+D104*$C$13+D105*$C$14+D106*$C$15+D107*$C$16+D108*$C$17+D109*$C$18+D110*$C$19+D111*$C$20+D112*$C$21+D113*$C$22+D114*$C$23</f>
        <v>0.26732337742868956</v>
      </c>
      <c r="E119" s="2474">
        <f t="shared" si="102"/>
        <v>0.26011406397538944</v>
      </c>
      <c r="F119" s="2474">
        <f t="shared" si="102"/>
        <v>0.26011406397538944</v>
      </c>
      <c r="G119" s="2474">
        <f t="shared" si="102"/>
        <v>0.26011406397538944</v>
      </c>
      <c r="H119" s="2474">
        <f t="shared" si="102"/>
        <v>0.26011406397538944</v>
      </c>
      <c r="I119" s="2474">
        <f t="shared" si="102"/>
        <v>0.26011406397538944</v>
      </c>
      <c r="J119" s="2474">
        <f t="shared" si="102"/>
        <v>0.26011406397538944</v>
      </c>
      <c r="K119" s="2474">
        <f t="shared" si="102"/>
        <v>0.26011406397538944</v>
      </c>
      <c r="L119" s="2062" t="s">
        <v>1304</v>
      </c>
      <c r="M119" s="2431"/>
      <c r="N119" s="2581" t="s">
        <v>1408</v>
      </c>
      <c r="O119" s="2589"/>
      <c r="P119" s="2587"/>
      <c r="Q119" s="2582">
        <f t="shared" ref="Q119:X119" si="103">+Q117*Q116*10*$R$12</f>
        <v>0</v>
      </c>
      <c r="R119" s="2582">
        <f t="shared" si="103"/>
        <v>86.064427428297634</v>
      </c>
      <c r="S119" s="2582">
        <f t="shared" si="103"/>
        <v>0</v>
      </c>
      <c r="T119" s="2582">
        <f t="shared" si="103"/>
        <v>0</v>
      </c>
      <c r="U119" s="2582">
        <f t="shared" si="103"/>
        <v>0</v>
      </c>
      <c r="V119" s="2582">
        <f t="shared" si="103"/>
        <v>0</v>
      </c>
      <c r="W119" s="2582">
        <f t="shared" si="103"/>
        <v>0</v>
      </c>
      <c r="X119" s="2582">
        <f t="shared" si="103"/>
        <v>0</v>
      </c>
      <c r="Y119" s="2488" t="s">
        <v>1391</v>
      </c>
      <c r="Z119" s="2062"/>
      <c r="AA119" s="2433"/>
      <c r="AB119" s="2028"/>
      <c r="AC119" s="2570"/>
      <c r="AD119" s="1843"/>
      <c r="AE119" s="1843"/>
      <c r="AF119" s="1843"/>
      <c r="AG119" s="1843"/>
      <c r="AH119" s="1843"/>
      <c r="AI119" s="1843"/>
      <c r="AJ119" s="1843"/>
      <c r="AK119" s="1843"/>
    </row>
    <row r="120" spans="1:37" ht="18" customHeight="1" x14ac:dyDescent="0.2">
      <c r="A120" s="2063"/>
      <c r="B120" s="2549" t="s">
        <v>1448</v>
      </c>
      <c r="C120" s="2472"/>
      <c r="D120" s="2599">
        <f t="shared" ref="D120:K120" si="104">+D102*$C$11*$D$11+D103*$C$12*$D$12+D104*$C$13*$D$13+D105*$C$14*$D$14+D106*$C$15*$D$15+D107*$C$16*$D$16+D108*$C$17*$D$17+D109*$C$18*$D$18+D110*$C$19*$D$19+D111*$C$20*$D$20+D112*$C$21*$D$21+D113*$C$22*$D$22+D114*$C$23*$D$23</f>
        <v>0.10246513642000825</v>
      </c>
      <c r="E120" s="2599">
        <f t="shared" si="104"/>
        <v>9.6614717142294707E-2</v>
      </c>
      <c r="F120" s="2599">
        <f t="shared" si="104"/>
        <v>9.6614717142294707E-2</v>
      </c>
      <c r="G120" s="2599">
        <f t="shared" si="104"/>
        <v>9.6614717142294707E-2</v>
      </c>
      <c r="H120" s="2599">
        <f t="shared" si="104"/>
        <v>9.6614717142294707E-2</v>
      </c>
      <c r="I120" s="2599">
        <f t="shared" si="104"/>
        <v>9.6614717142294707E-2</v>
      </c>
      <c r="J120" s="2599">
        <f t="shared" si="104"/>
        <v>9.6614717142294707E-2</v>
      </c>
      <c r="K120" s="2599">
        <f t="shared" si="104"/>
        <v>9.6614717142294707E-2</v>
      </c>
      <c r="L120" s="2062" t="s">
        <v>1304</v>
      </c>
      <c r="M120" s="2431"/>
      <c r="N120" s="2581" t="s">
        <v>1220</v>
      </c>
      <c r="O120" s="2589"/>
      <c r="P120" s="2587"/>
      <c r="Q120" s="2582">
        <f>Q118*Q116*10</f>
        <v>0</v>
      </c>
      <c r="R120" s="2582">
        <f t="shared" ref="R120:X120" si="105">R118*R116*10</f>
        <v>0</v>
      </c>
      <c r="S120" s="2582">
        <f t="shared" si="105"/>
        <v>286.8814247609921</v>
      </c>
      <c r="T120" s="2582">
        <f t="shared" si="105"/>
        <v>286.8814247609921</v>
      </c>
      <c r="U120" s="2582">
        <f t="shared" si="105"/>
        <v>0</v>
      </c>
      <c r="V120" s="2582">
        <f t="shared" si="105"/>
        <v>0</v>
      </c>
      <c r="W120" s="2582">
        <f t="shared" si="105"/>
        <v>0</v>
      </c>
      <c r="X120" s="2582">
        <f t="shared" si="105"/>
        <v>0</v>
      </c>
      <c r="Y120" s="2488" t="s">
        <v>1391</v>
      </c>
      <c r="Z120" s="2062"/>
      <c r="AA120" s="2433"/>
      <c r="AB120" s="2028"/>
      <c r="AC120" s="2570"/>
      <c r="AD120" s="1843"/>
      <c r="AE120" s="1843"/>
      <c r="AF120" s="1843"/>
      <c r="AG120" s="1843"/>
      <c r="AH120" s="1843"/>
      <c r="AI120" s="1843"/>
      <c r="AJ120" s="1843"/>
      <c r="AK120" s="1843"/>
    </row>
    <row r="121" spans="1:37" ht="18" customHeight="1" x14ac:dyDescent="0.2">
      <c r="A121" s="2063"/>
      <c r="B121" s="2549" t="s">
        <v>1449</v>
      </c>
      <c r="C121" s="2472"/>
      <c r="D121" s="2465">
        <f t="shared" ref="D121:K121" si="106">+D119-D120</f>
        <v>0.16485824100868129</v>
      </c>
      <c r="E121" s="2465">
        <f t="shared" si="106"/>
        <v>0.16349934683309475</v>
      </c>
      <c r="F121" s="2465">
        <f t="shared" si="106"/>
        <v>0.16349934683309475</v>
      </c>
      <c r="G121" s="2465">
        <f t="shared" si="106"/>
        <v>0.16349934683309475</v>
      </c>
      <c r="H121" s="2465">
        <f t="shared" si="106"/>
        <v>0.16349934683309475</v>
      </c>
      <c r="I121" s="2465">
        <f t="shared" si="106"/>
        <v>0.16349934683309475</v>
      </c>
      <c r="J121" s="2465">
        <f t="shared" si="106"/>
        <v>0.16349934683309475</v>
      </c>
      <c r="K121" s="2465">
        <f t="shared" si="106"/>
        <v>0.16349934683309475</v>
      </c>
      <c r="L121" s="2062" t="s">
        <v>1304</v>
      </c>
      <c r="M121" s="2431"/>
      <c r="N121" s="2581" t="s">
        <v>1409</v>
      </c>
      <c r="O121" s="2589"/>
      <c r="P121" s="2587"/>
      <c r="Q121" s="2584">
        <f>$D$173*(0.82*28+0.045*265)</f>
        <v>24.260866267052496</v>
      </c>
      <c r="R121" s="2584">
        <f>$E$173*(0.82*28+0.045*265)</f>
        <v>24.72074122287508</v>
      </c>
      <c r="S121" s="2584">
        <f>$G$173*(0.82*28+0.045*265)</f>
        <v>24.72074122287508</v>
      </c>
      <c r="T121" s="2584">
        <f>$G$173*(0.82*28+0.045*265)</f>
        <v>24.72074122287508</v>
      </c>
      <c r="U121" s="2584">
        <f>$H$173*(0.82*28+0.045*265)</f>
        <v>24.72074122287508</v>
      </c>
      <c r="V121" s="2584">
        <f>$I$173*(0.82*28+0.045*265)</f>
        <v>24.72074122287508</v>
      </c>
      <c r="W121" s="2584">
        <f>$I$173*(0.82*28+0.045*265)</f>
        <v>24.72074122287508</v>
      </c>
      <c r="X121" s="2584">
        <f>$I$173*(0.82*28+0.045*265)</f>
        <v>24.72074122287508</v>
      </c>
      <c r="Y121" s="2488" t="s">
        <v>1322</v>
      </c>
      <c r="Z121" s="2062"/>
      <c r="AA121" s="2433"/>
      <c r="AB121" s="2028"/>
      <c r="AC121" s="2570"/>
      <c r="AD121" s="1843"/>
      <c r="AE121" s="1843"/>
      <c r="AF121" s="1843"/>
      <c r="AG121" s="1843"/>
      <c r="AH121" s="1843"/>
      <c r="AI121" s="1843"/>
      <c r="AJ121" s="1843"/>
      <c r="AK121" s="1843"/>
    </row>
    <row r="122" spans="1:37" ht="18" customHeight="1" x14ac:dyDescent="0.2">
      <c r="A122" s="2063"/>
      <c r="B122" s="2063"/>
      <c r="C122" s="2063"/>
      <c r="D122" s="2495"/>
      <c r="E122" s="2495"/>
      <c r="F122" s="2495"/>
      <c r="G122" s="2495"/>
      <c r="H122" s="2495"/>
      <c r="I122" s="2495"/>
      <c r="J122" s="2495"/>
      <c r="K122" s="2495"/>
      <c r="L122" s="2063"/>
      <c r="M122" s="2431"/>
      <c r="N122" s="2581" t="s">
        <v>1410</v>
      </c>
      <c r="O122" s="2589"/>
      <c r="P122" s="2587"/>
      <c r="Q122" s="2582">
        <f>$D$173*100</f>
        <v>69.545266639107055</v>
      </c>
      <c r="R122" s="2582">
        <f>$E$173*100</f>
        <v>70.863526509603219</v>
      </c>
      <c r="S122" s="2582">
        <f>$G$173*100</f>
        <v>70.863526509603219</v>
      </c>
      <c r="T122" s="2582">
        <f>$G$173*100</f>
        <v>70.863526509603219</v>
      </c>
      <c r="U122" s="2582">
        <f>$H$173*100</f>
        <v>70.863526509603219</v>
      </c>
      <c r="V122" s="2582">
        <f>$I$173*100</f>
        <v>70.863526509603219</v>
      </c>
      <c r="W122" s="2582">
        <f>$I$173*100</f>
        <v>70.863526509603219</v>
      </c>
      <c r="X122" s="2582">
        <f>$I$173*100</f>
        <v>70.863526509603219</v>
      </c>
      <c r="Y122" s="2488" t="s">
        <v>1391</v>
      </c>
      <c r="Z122" s="2062"/>
      <c r="AA122" s="2433"/>
      <c r="AB122" s="2028"/>
      <c r="AC122" s="2570"/>
      <c r="AD122" s="1843"/>
      <c r="AE122" s="1843"/>
      <c r="AF122" s="1843"/>
      <c r="AG122" s="1843"/>
      <c r="AH122" s="1843"/>
      <c r="AI122" s="1843"/>
      <c r="AJ122" s="1843"/>
      <c r="AK122" s="1843"/>
    </row>
    <row r="123" spans="1:37" ht="18" customHeight="1" x14ac:dyDescent="0.2">
      <c r="A123" s="2982" t="s">
        <v>1450</v>
      </c>
      <c r="B123" s="2983"/>
      <c r="C123" s="2984"/>
      <c r="D123" s="2077" t="str">
        <f t="shared" ref="D123:K123" si="107">+D72</f>
        <v>Cenário-Base</v>
      </c>
      <c r="E123" s="2077" t="str">
        <f t="shared" si="107"/>
        <v>Biodigestão RT1A + CDR TM</v>
      </c>
      <c r="F123" s="2077" t="str">
        <f t="shared" si="107"/>
        <v>Biodigestão RT1B + CDR TM</v>
      </c>
      <c r="G123" s="2077" t="str">
        <f t="shared" si="107"/>
        <v>Biodigestão RT1C + CDR TM</v>
      </c>
      <c r="H123" s="2077" t="str">
        <f t="shared" si="107"/>
        <v>Compostagem + CDR TM</v>
      </c>
      <c r="I123" s="2077" t="str">
        <f t="shared" si="107"/>
        <v xml:space="preserve">Biosecagem + CDR TMB </v>
      </c>
      <c r="J123" s="2077" t="str">
        <f t="shared" si="107"/>
        <v>Incineração Mass Burning</v>
      </c>
      <c r="K123" s="2077" t="str">
        <f t="shared" si="107"/>
        <v>Incineração Mass Burn. Descentralizada</v>
      </c>
      <c r="L123" s="2063"/>
      <c r="M123" s="2431"/>
      <c r="N123" s="2581" t="s">
        <v>1411</v>
      </c>
      <c r="O123" s="2589"/>
      <c r="P123" s="2587"/>
      <c r="Q123" s="2582">
        <f>Q122*$C$3/1000</f>
        <v>5.2784857379082259</v>
      </c>
      <c r="R123" s="2582">
        <f t="shared" ref="R123:X123" si="108">R122*$C$3/1000</f>
        <v>5.3785416620788844</v>
      </c>
      <c r="S123" s="2582">
        <f t="shared" si="108"/>
        <v>5.3785416620788844</v>
      </c>
      <c r="T123" s="2582">
        <f t="shared" si="108"/>
        <v>5.3785416620788844</v>
      </c>
      <c r="U123" s="2582">
        <f t="shared" si="108"/>
        <v>5.3785416620788844</v>
      </c>
      <c r="V123" s="2582">
        <f t="shared" si="108"/>
        <v>5.3785416620788844</v>
      </c>
      <c r="W123" s="2582">
        <f t="shared" si="108"/>
        <v>5.3785416620788844</v>
      </c>
      <c r="X123" s="2582">
        <f t="shared" si="108"/>
        <v>5.3785416620788844</v>
      </c>
      <c r="Y123" s="2488" t="s">
        <v>1322</v>
      </c>
      <c r="Z123" s="2062"/>
      <c r="AA123" s="2433"/>
      <c r="AB123" s="2028"/>
      <c r="AC123" s="2570"/>
      <c r="AD123" s="1843"/>
      <c r="AE123" s="1843"/>
      <c r="AF123" s="1843"/>
      <c r="AG123" s="1843"/>
      <c r="AH123" s="1843"/>
      <c r="AI123" s="1843"/>
      <c r="AJ123" s="1843"/>
      <c r="AK123" s="1843"/>
    </row>
    <row r="124" spans="1:37" ht="18" customHeight="1" x14ac:dyDescent="0.2">
      <c r="A124" s="2600"/>
      <c r="B124" s="2601" t="s">
        <v>1451</v>
      </c>
      <c r="C124" s="2472"/>
      <c r="D124" s="2602">
        <f>+((D102+D103)*$C$29+D104*$C$31+D105*$C$32+D106*$C$33+(D107+D108)*$C$34+(D109+D110+D111)*$C$35+D112*$C$36+D113*$C$37+D114*$C$38)*'CO2 - Início'!$E$55</f>
        <v>0</v>
      </c>
      <c r="E124" s="2482">
        <f>+((E102+E103)*$C$29+E104*$C$31+E105*$C$32+E106*$C$33+(E107+E108)*$C$34+(E109+E110+E111)*$C$35+E112*$C$36+E113*$C$37+E114*$C$38)*'CO2 - Início'!$E$55</f>
        <v>0</v>
      </c>
      <c r="F124" s="2482">
        <f>+((F102+F103)*$C$29+F104*$C$31+F105*$C$32+F106*$C$33+(F107+F108)*$C$34+(F109+F110+F111)*$C$35+F112*$C$36+F113*$C$37+F114*$C$38)*'CO2 - Início'!$E$55</f>
        <v>0</v>
      </c>
      <c r="G124" s="2482">
        <f>+((G102+G103)*$C$29+G104*$C$31+G105*$C$32+G106*$C$33+(G107+G108)*$C$34+(G109+G110+G111)*$C$35+G112*$C$36+G113*$C$37+G114*$C$38)*'CO2 - Início'!$E$55</f>
        <v>0</v>
      </c>
      <c r="H124" s="2482">
        <f>+((H102+H103)*$C$29+H104*$C$31+H105*$C$32+H106*$C$33+(H107+H108)*$C$34+(H109+H110+H111)*$C$35+H112*$C$36+H113*$C$37+H114*$C$38)*'CO2 - Início'!$E$55</f>
        <v>0</v>
      </c>
      <c r="I124" s="2482">
        <f>+((I102+I103)*$C$29+I104*$C$31+I105*$C$32+I106*$C$33+(I107+I108)*$C$34+(I109+I110+I111)*$C$35+I112*$C$36+I113*$C$37+I114*$C$38)*'CO2 - Início'!$E$55</f>
        <v>0</v>
      </c>
      <c r="J124" s="2482">
        <f>+((J102+J103)*$C$29+J104*$C$31+J105*$C$32+J106*$C$33+(J107+J108)*$C$34+(J109+J110+J111)*$C$35+J112*$C$36+J113*$C$37+J114*$C$38)*'CO2 - Início'!$E$55</f>
        <v>0</v>
      </c>
      <c r="K124" s="2482">
        <f>+((K102+K103)*$C$29+K104*$C$31+K105*$C$32+K106*$C$33+(K107+K108)*$C$34+(K109+K110+K111)*$C$35+K112*$C$36+K113*$C$37+K114*$C$38)*'CO2 - Início'!$E$55</f>
        <v>0</v>
      </c>
      <c r="L124" s="2062" t="s">
        <v>1396</v>
      </c>
      <c r="M124" s="2431"/>
      <c r="N124" s="2581" t="s">
        <v>1412</v>
      </c>
      <c r="O124" s="2589"/>
      <c r="P124" s="2587"/>
      <c r="Q124" s="2582">
        <f>Q121+Q123</f>
        <v>29.539352004960723</v>
      </c>
      <c r="R124" s="2582">
        <f t="shared" ref="R124:X124" si="109">R121+R123</f>
        <v>30.099282884953965</v>
      </c>
      <c r="S124" s="2582">
        <f t="shared" si="109"/>
        <v>30.099282884953965</v>
      </c>
      <c r="T124" s="2582">
        <f t="shared" si="109"/>
        <v>30.099282884953965</v>
      </c>
      <c r="U124" s="2582">
        <f t="shared" si="109"/>
        <v>30.099282884953965</v>
      </c>
      <c r="V124" s="2582">
        <f t="shared" si="109"/>
        <v>30.099282884953965</v>
      </c>
      <c r="W124" s="2582">
        <f t="shared" si="109"/>
        <v>30.099282884953965</v>
      </c>
      <c r="X124" s="2582">
        <f t="shared" si="109"/>
        <v>30.099282884953965</v>
      </c>
      <c r="Y124" s="2488" t="s">
        <v>1322</v>
      </c>
      <c r="Z124" s="2062"/>
      <c r="AA124" s="2433"/>
      <c r="AB124" s="2028"/>
      <c r="AC124" s="2570"/>
      <c r="AD124" s="1843"/>
      <c r="AE124" s="1843"/>
      <c r="AF124" s="1843"/>
      <c r="AG124" s="1843"/>
      <c r="AH124" s="1843"/>
      <c r="AI124" s="1843"/>
      <c r="AJ124" s="1843"/>
      <c r="AK124" s="1843"/>
    </row>
    <row r="125" spans="1:37" ht="18" customHeight="1" x14ac:dyDescent="0.2">
      <c r="A125" s="2600"/>
      <c r="B125" s="2601" t="s">
        <v>1452</v>
      </c>
      <c r="C125" s="2472"/>
      <c r="D125" s="2602">
        <f>+((D102+D103)*$C$30+D104*$C$31+D105*$C$32+D106*$C$33+(D107+D108)*$C$34+(D109+D110+D111)*$C$35+D112*$C$36+D113*$C$37+D114*$C$39)*'CO2 - Início'!$E$56</f>
        <v>8.291091360066142</v>
      </c>
      <c r="E125" s="2482">
        <f>+((E102+E103)*$C$30+E104*$C$31+E105*$C$32+E106*$C$33+(E107+E108)*$C$34+(E109+E110+E111)*$C$35+E112*$C$36+E113*$C$37+E114*$C$39)*'CO2 - Início'!$E$56</f>
        <v>7.9645539506654801</v>
      </c>
      <c r="F125" s="2482">
        <f>+((F102+F103)*$C$30+F104*$C$31+F105*$C$32+F106*$C$33+(F107+F108)*$C$34+(F109+F110+F111)*$C$35+F112*$C$36+F113*$C$37+F114*$C$39)*'CO2 - Início'!$E$56</f>
        <v>7.9645539506654801</v>
      </c>
      <c r="G125" s="2482">
        <f>+((G102+G103)*$C$30+G104*$C$31+G105*$C$32+G106*$C$33+(G107+G108)*$C$34+(G109+G110+G111)*$C$35+G112*$C$36+G113*$C$37+G114*$C$39)*'CO2 - Início'!$E$56</f>
        <v>7.9645539506654801</v>
      </c>
      <c r="H125" s="2482">
        <f>+((H102+H103)*$C$30+H104*$C$31+H105*$C$32+H106*$C$33+(H107+H108)*$C$34+(H109+H110+H111)*$C$35+H112*$C$36+H113*$C$37+H114*$C$39)*'CO2 - Início'!$E$56</f>
        <v>7.9645539506654801</v>
      </c>
      <c r="I125" s="2482">
        <f>+((I102+I103)*$C$30+I104*$C$31+I105*$C$32+I106*$C$33+(I107+I108)*$C$34+(I109+I110+I111)*$C$35+I112*$C$36+I113*$C$37+I114*$C$39)*'CO2 - Início'!$E$56</f>
        <v>7.9645539506654801</v>
      </c>
      <c r="J125" s="2482">
        <f>+((J102+J103)*$C$30+J104*$C$31+J105*$C$32+J106*$C$33+(J107+J108)*$C$34+(J109+J110+J111)*$C$35+J112*$C$36+J113*$C$37+J114*$C$39)*'CO2 - Início'!$E$56</f>
        <v>7.9645539506654801</v>
      </c>
      <c r="K125" s="2482">
        <f>+((K102+K103)*$C$30+K104*$C$31+K105*$C$32+K106*$C$33+(K107+K108)*$C$34+(K109+K110+K111)*$C$35+K112*$C$36+K113*$C$37+K114*$C$39)*'CO2 - Início'!$E$56</f>
        <v>7.9645539506654801</v>
      </c>
      <c r="L125" s="2062" t="s">
        <v>1396</v>
      </c>
      <c r="M125" s="2431"/>
      <c r="N125" s="2585" t="s">
        <v>1453</v>
      </c>
      <c r="O125" s="2589"/>
      <c r="P125" s="2587"/>
      <c r="Q125" s="2603"/>
      <c r="R125" s="2588"/>
      <c r="S125" s="2588"/>
      <c r="T125" s="2588"/>
      <c r="U125" s="2588"/>
      <c r="V125" s="2588"/>
      <c r="W125" s="2588"/>
      <c r="X125" s="2588"/>
      <c r="Y125" s="2488"/>
      <c r="Z125" s="2063"/>
      <c r="AA125" s="2433"/>
      <c r="AB125" s="2028"/>
      <c r="AC125" s="2570"/>
      <c r="AD125" s="1843"/>
      <c r="AE125" s="1843"/>
      <c r="AF125" s="1843"/>
      <c r="AG125" s="1843"/>
      <c r="AH125" s="1843"/>
      <c r="AI125" s="1843"/>
      <c r="AJ125" s="1843"/>
      <c r="AK125" s="1843"/>
    </row>
    <row r="126" spans="1:37" ht="18" customHeight="1" x14ac:dyDescent="0.2">
      <c r="A126" s="2063"/>
      <c r="B126" s="2063"/>
      <c r="C126" s="2063"/>
      <c r="D126" s="2063"/>
      <c r="E126" s="2063"/>
      <c r="F126" s="2063"/>
      <c r="G126" s="2063"/>
      <c r="H126" s="2063"/>
      <c r="I126" s="2063"/>
      <c r="J126" s="2063"/>
      <c r="K126" s="2063"/>
      <c r="L126" s="2063"/>
      <c r="M126" s="2431"/>
      <c r="N126" s="2581" t="s">
        <v>1416</v>
      </c>
      <c r="O126" s="2579"/>
      <c r="P126" s="2580"/>
      <c r="Q126" s="2604">
        <f>$D$179*0.7</f>
        <v>6.9843567941298063E-2</v>
      </c>
      <c r="R126" s="2604">
        <f>$E$179*0.7</f>
        <v>7.2240632765115484E-2</v>
      </c>
      <c r="S126" s="2604">
        <f>$G$179*0.7</f>
        <v>7.2240632765115484E-2</v>
      </c>
      <c r="T126" s="2604">
        <f>$G$179*0.7</f>
        <v>7.2240632765115484E-2</v>
      </c>
      <c r="U126" s="2604">
        <f>$H$179*0.7</f>
        <v>7.2240632765115484E-2</v>
      </c>
      <c r="V126" s="2604">
        <f>$I$179*0.7</f>
        <v>7.2240632765115484E-2</v>
      </c>
      <c r="W126" s="2604">
        <f>$I$179*0.7</f>
        <v>7.2240632765115484E-2</v>
      </c>
      <c r="X126" s="2604">
        <f>$I$179*0.7</f>
        <v>7.2240632765115484E-2</v>
      </c>
      <c r="Y126" s="2554" t="s">
        <v>1454</v>
      </c>
      <c r="Z126" s="2063" t="s">
        <v>1414</v>
      </c>
      <c r="AA126" s="2433"/>
      <c r="AB126" s="2028"/>
      <c r="AC126" s="2570"/>
      <c r="AD126" s="1843"/>
      <c r="AE126" s="1843"/>
      <c r="AF126" s="1843"/>
      <c r="AG126" s="1843"/>
      <c r="AH126" s="1843"/>
      <c r="AI126" s="1843"/>
      <c r="AJ126" s="1843"/>
      <c r="AK126" s="1843"/>
    </row>
    <row r="127" spans="1:37" ht="18" customHeight="1" x14ac:dyDescent="0.2">
      <c r="A127" s="2063"/>
      <c r="B127" s="2063"/>
      <c r="C127" s="2063"/>
      <c r="D127" s="2063"/>
      <c r="E127" s="2063"/>
      <c r="F127" s="2063"/>
      <c r="G127" s="2063"/>
      <c r="H127" s="2063"/>
      <c r="I127" s="2063"/>
      <c r="J127" s="2063"/>
      <c r="K127" s="2063"/>
      <c r="L127" s="2063"/>
      <c r="M127" s="2431"/>
      <c r="N127" s="2581" t="s">
        <v>1455</v>
      </c>
      <c r="O127" s="2579"/>
      <c r="P127" s="2580"/>
      <c r="Q127" s="2605">
        <f t="shared" ref="Q127:X127" si="110">Q126*0.3*1868</f>
        <v>39.140335474303434</v>
      </c>
      <c r="R127" s="2605">
        <f t="shared" si="110"/>
        <v>40.483650601570716</v>
      </c>
      <c r="S127" s="2605">
        <f t="shared" si="110"/>
        <v>40.483650601570716</v>
      </c>
      <c r="T127" s="2605">
        <f t="shared" si="110"/>
        <v>40.483650601570716</v>
      </c>
      <c r="U127" s="2605">
        <f t="shared" si="110"/>
        <v>40.483650601570716</v>
      </c>
      <c r="V127" s="2605">
        <f t="shared" si="110"/>
        <v>40.483650601570716</v>
      </c>
      <c r="W127" s="2605">
        <f t="shared" si="110"/>
        <v>40.483650601570716</v>
      </c>
      <c r="X127" s="2605">
        <f t="shared" si="110"/>
        <v>40.483650601570716</v>
      </c>
      <c r="Y127" s="2554" t="s">
        <v>1456</v>
      </c>
      <c r="Z127" s="2063" t="s">
        <v>1414</v>
      </c>
      <c r="AA127" s="2433"/>
      <c r="AB127" s="2028"/>
      <c r="AC127" s="2570"/>
      <c r="AD127" s="1843"/>
      <c r="AE127" s="1843"/>
      <c r="AF127" s="1843"/>
      <c r="AG127" s="1843"/>
      <c r="AH127" s="1843"/>
      <c r="AI127" s="1843"/>
      <c r="AJ127" s="1843"/>
      <c r="AK127" s="1843"/>
    </row>
    <row r="128" spans="1:37" ht="18" customHeight="1" x14ac:dyDescent="0.2">
      <c r="A128" s="1987" t="s">
        <v>1457</v>
      </c>
      <c r="B128" s="2197"/>
      <c r="C128" s="2063"/>
      <c r="D128" s="2063"/>
      <c r="E128" s="2063"/>
      <c r="F128" s="2063"/>
      <c r="G128" s="2063"/>
      <c r="H128" s="2063"/>
      <c r="I128" s="2063"/>
      <c r="J128" s="2063"/>
      <c r="K128" s="2063"/>
      <c r="L128" s="2495"/>
      <c r="M128" s="2431"/>
      <c r="N128" s="2581" t="s">
        <v>1458</v>
      </c>
      <c r="O128" s="2579"/>
      <c r="P128" s="2580"/>
      <c r="Q128" s="2605">
        <f>Q127*'CO2 - Destinação'!$E$28</f>
        <v>8.8065754817182729</v>
      </c>
      <c r="R128" s="2605">
        <f>R127*'CO2 - Destinação'!$G$28</f>
        <v>9.1088213853534121</v>
      </c>
      <c r="S128" s="2605">
        <f>S127*'CO2 - Destinação'!$H$28</f>
        <v>9.1088213853534121</v>
      </c>
      <c r="T128" s="2605">
        <f>T127*'CO2 - Destinação'!$I$28</f>
        <v>9.1088213853534121</v>
      </c>
      <c r="U128" s="2605">
        <f>U127*'CO2 - Destinação'!$J$28</f>
        <v>9.1088213853534121</v>
      </c>
      <c r="V128" s="2605">
        <f>V127*'CO2 - Destinação'!$K$28</f>
        <v>9.1088213853534121</v>
      </c>
      <c r="W128" s="2605">
        <f>W127*'CO2 - Destinação'!$K$28</f>
        <v>9.1088213853534121</v>
      </c>
      <c r="X128" s="2605">
        <f>X127*'CO2 - Destinação'!$M$28</f>
        <v>9.1088213853534121</v>
      </c>
      <c r="Y128" s="2554" t="s">
        <v>1401</v>
      </c>
      <c r="Z128" s="2063" t="s">
        <v>1414</v>
      </c>
      <c r="AA128" s="2433"/>
      <c r="AB128" s="2028"/>
      <c r="AC128" s="2570"/>
      <c r="AD128" s="1843"/>
      <c r="AE128" s="1843"/>
      <c r="AF128" s="1843"/>
      <c r="AG128" s="1843"/>
      <c r="AH128" s="1843"/>
      <c r="AI128" s="1843"/>
      <c r="AJ128" s="1843"/>
      <c r="AK128" s="1843"/>
    </row>
    <row r="129" spans="1:37" ht="18" customHeight="1" x14ac:dyDescent="0.2">
      <c r="A129" s="2063"/>
      <c r="B129" s="2063"/>
      <c r="C129" s="2063"/>
      <c r="D129" s="2063"/>
      <c r="E129" s="2063"/>
      <c r="F129" s="2063"/>
      <c r="G129" s="2063"/>
      <c r="H129" s="2063"/>
      <c r="I129" s="2063"/>
      <c r="J129" s="2063"/>
      <c r="K129" s="2063"/>
      <c r="L129" s="2495"/>
      <c r="M129" s="2431"/>
      <c r="N129" s="2581" t="s">
        <v>1459</v>
      </c>
      <c r="O129" s="2579"/>
      <c r="P129" s="2580"/>
      <c r="Q129" s="2605">
        <f>(Q128*'CO2 - Destinação'!$E$32+Q127*(1-'CO2 - Destinação'!$E$28)*(1-'CO2 - Destinação'!$E$40))*$Q$26*16/22.4*28</f>
        <v>300.30422392659312</v>
      </c>
      <c r="R129" s="2605">
        <f>(R128*'CO2 - Destinação'!$G$32+R127*(1-'CO2 - Destinação'!$G$28)*(1-'CO2 - Destinação'!$G$40))*$R$26*16/22.4*28</f>
        <v>310.61080924055142</v>
      </c>
      <c r="S129" s="2605">
        <f>(S128*'CO2 - Destinação'!$H$32+S127*(1-'CO2 - Destinação'!$H$28)*(1-'CO2 - Destinação'!$H$40))*$R$26*16/22.4*28</f>
        <v>310.61080924055142</v>
      </c>
      <c r="T129" s="2605">
        <f>(T128*'CO2 - Destinação'!$I$32+T127*(1-'CO2 - Destinação'!$I$28)*(1-'CO2 - Destinação'!$I$40))*$R$26*16/22.4*28</f>
        <v>310.61080924055142</v>
      </c>
      <c r="U129" s="2605">
        <f>(U128*'CO2 - Destinação'!$J$32+U127*(1-'CO2 - Destinação'!$J$28)*(1-'CO2 - Destinação'!$J$40))*$U$26*16/22.4*28</f>
        <v>310.61080924055142</v>
      </c>
      <c r="V129" s="2605">
        <f>(V128*'CO2 - Destinação'!$K$32+V127*(1-'CO2 - Destinação'!$K$28)*(1-'CO2 - Destinação'!$K$40))*$V$26*16/22.4*28</f>
        <v>310.61080924055142</v>
      </c>
      <c r="W129" s="2605">
        <f>(W128*'CO2 - Destinação'!$K$32+W127*(1-'CO2 - Destinação'!$K$28)*(1-'CO2 - Destinação'!$K$40))*$V$26*16/22.4*28</f>
        <v>310.61080924055142</v>
      </c>
      <c r="X129" s="2605">
        <f>(X128*'CO2 - Destinação'!$M$32+X127*(1-'CO2 - Destinação'!$M$28)*(1-'CO2 - Destinação'!$M$40))*$V$26*16/22.4*28</f>
        <v>310.61080924055142</v>
      </c>
      <c r="Y129" s="2554" t="s">
        <v>1322</v>
      </c>
      <c r="Z129" s="2063" t="s">
        <v>1414</v>
      </c>
      <c r="AA129" s="2433"/>
      <c r="AB129" s="2028"/>
      <c r="AC129" s="2570"/>
      <c r="AD129" s="1843"/>
      <c r="AE129" s="1843"/>
      <c r="AF129" s="1843"/>
      <c r="AG129" s="1843"/>
      <c r="AH129" s="1843"/>
      <c r="AI129" s="1843"/>
      <c r="AJ129" s="1843"/>
      <c r="AK129" s="1843"/>
    </row>
    <row r="130" spans="1:37" ht="18" customHeight="1" x14ac:dyDescent="0.2">
      <c r="A130" s="2063"/>
      <c r="B130" s="2529" t="s">
        <v>1433</v>
      </c>
      <c r="C130" s="2504" t="s">
        <v>1460</v>
      </c>
      <c r="D130" s="2077" t="str">
        <f t="shared" ref="D130:K130" si="111">+D101</f>
        <v>Cenário-Base</v>
      </c>
      <c r="E130" s="2077" t="str">
        <f t="shared" si="111"/>
        <v>Biodigestão RT1A + CDR TM</v>
      </c>
      <c r="F130" s="2077" t="str">
        <f t="shared" si="111"/>
        <v>Biodigestão RT1B + CDR TM</v>
      </c>
      <c r="G130" s="2077" t="str">
        <f t="shared" si="111"/>
        <v>Biodigestão RT1C + CDR TM</v>
      </c>
      <c r="H130" s="2077" t="str">
        <f t="shared" si="111"/>
        <v>Compostagem + CDR TM</v>
      </c>
      <c r="I130" s="2077" t="str">
        <f t="shared" si="111"/>
        <v xml:space="preserve">Biosecagem + CDR TMB </v>
      </c>
      <c r="J130" s="2077" t="str">
        <f t="shared" si="111"/>
        <v>Incineração Mass Burning</v>
      </c>
      <c r="K130" s="2077" t="str">
        <f t="shared" si="111"/>
        <v>Incineração Mass Burn. Descentralizada</v>
      </c>
      <c r="L130" s="2495"/>
      <c r="M130" s="2431"/>
      <c r="N130" s="2581" t="s">
        <v>1415</v>
      </c>
      <c r="O130" s="2579"/>
      <c r="P130" s="2580"/>
      <c r="Q130" s="2605">
        <f>$Q$43+$Q$44+$Q$45</f>
        <v>3.2385304029626489</v>
      </c>
      <c r="R130" s="2605">
        <f>$R$43+$R$44+$R$45</f>
        <v>3.2385304029626489</v>
      </c>
      <c r="S130" s="2605">
        <f>$R$43+$R$44+$R$45</f>
        <v>3.2385304029626489</v>
      </c>
      <c r="T130" s="2605">
        <f>$R$43+$R$44+$R$45</f>
        <v>3.2385304029626489</v>
      </c>
      <c r="U130" s="2605">
        <f>$U$43+$U$44+$U$45</f>
        <v>3.2385304029626489</v>
      </c>
      <c r="V130" s="2605">
        <f>$V$43+$V$44+$V$45</f>
        <v>3.2385304029626489</v>
      </c>
      <c r="W130" s="2605">
        <f>$V$43+$V$44+$V$45</f>
        <v>3.2385304029626489</v>
      </c>
      <c r="X130" s="2605">
        <f>$V$43+$V$44+$V$45</f>
        <v>3.2385304029626489</v>
      </c>
      <c r="Y130" s="2554" t="s">
        <v>1322</v>
      </c>
      <c r="Z130" s="2063" t="s">
        <v>1414</v>
      </c>
      <c r="AA130" s="2433"/>
      <c r="AB130" s="2028"/>
      <c r="AC130" s="2570"/>
      <c r="AD130" s="1843"/>
      <c r="AE130" s="1843"/>
      <c r="AF130" s="1843"/>
      <c r="AG130" s="1843"/>
      <c r="AH130" s="1843"/>
      <c r="AI130" s="1843"/>
      <c r="AJ130" s="1843"/>
      <c r="AK130" s="1843"/>
    </row>
    <row r="131" spans="1:37" ht="18" customHeight="1" x14ac:dyDescent="0.2">
      <c r="A131" s="2063"/>
      <c r="B131" s="2549" t="s">
        <v>1107</v>
      </c>
      <c r="C131" s="2606"/>
      <c r="D131" s="2465"/>
      <c r="E131" s="2465"/>
      <c r="F131" s="2465"/>
      <c r="G131" s="2465"/>
      <c r="H131" s="2465"/>
      <c r="I131" s="2465"/>
      <c r="J131" s="2465"/>
      <c r="K131" s="2465"/>
      <c r="L131" s="2607" t="s">
        <v>194</v>
      </c>
      <c r="M131" s="2431"/>
      <c r="N131" s="2578" t="s">
        <v>1366</v>
      </c>
      <c r="O131" s="2608"/>
      <c r="P131" s="2609"/>
      <c r="Q131" s="2610">
        <f t="shared" ref="Q131:X131" si="112">IF(Q117+Q118=0,Q112,Q124)+Q105+Q106</f>
        <v>108.01101053328901</v>
      </c>
      <c r="R131" s="2610">
        <f t="shared" si="112"/>
        <v>105.77077180494484</v>
      </c>
      <c r="S131" s="2610">
        <f t="shared" si="112"/>
        <v>105.77077180494484</v>
      </c>
      <c r="T131" s="2610">
        <f t="shared" si="112"/>
        <v>105.77077180494484</v>
      </c>
      <c r="U131" s="2610">
        <f t="shared" si="112"/>
        <v>100.66115722596992</v>
      </c>
      <c r="V131" s="2610">
        <f t="shared" si="112"/>
        <v>100.66115722596992</v>
      </c>
      <c r="W131" s="2610">
        <f t="shared" si="112"/>
        <v>100.66115722596992</v>
      </c>
      <c r="X131" s="2610">
        <f t="shared" si="112"/>
        <v>100.66115722596992</v>
      </c>
      <c r="Y131" s="2506" t="s">
        <v>1322</v>
      </c>
      <c r="Z131" s="2063"/>
      <c r="AA131" s="2433"/>
      <c r="AB131" s="2028"/>
      <c r="AC131" s="2570"/>
      <c r="AD131" s="1843"/>
      <c r="AE131" s="1843"/>
      <c r="AF131" s="1843"/>
      <c r="AG131" s="1843"/>
      <c r="AH131" s="1843"/>
      <c r="AI131" s="1843"/>
      <c r="AJ131" s="1843"/>
      <c r="AK131" s="1843"/>
    </row>
    <row r="132" spans="1:37" ht="18" customHeight="1" x14ac:dyDescent="0.2">
      <c r="A132" s="2063"/>
      <c r="B132" s="2549" t="s">
        <v>1108</v>
      </c>
      <c r="C132" s="2606"/>
      <c r="D132" s="2465"/>
      <c r="E132" s="2465"/>
      <c r="F132" s="2465"/>
      <c r="G132" s="2465"/>
      <c r="H132" s="2465"/>
      <c r="I132" s="2465"/>
      <c r="J132" s="2465"/>
      <c r="K132" s="2465"/>
      <c r="L132" s="2607" t="s">
        <v>194</v>
      </c>
      <c r="M132" s="2431"/>
      <c r="N132" s="2581" t="s">
        <v>1354</v>
      </c>
      <c r="O132" s="2579"/>
      <c r="P132" s="2580"/>
      <c r="Q132" s="2582">
        <f>Q128*'CO2 - Destinação'!$E$35</f>
        <v>0</v>
      </c>
      <c r="R132" s="2582">
        <f>R128*'CO2 - Destinação'!$G$35</f>
        <v>0</v>
      </c>
      <c r="S132" s="2582">
        <f>S128*'CO2 - Destinação'!$H$35</f>
        <v>0</v>
      </c>
      <c r="T132" s="2582">
        <f>T128*'CO2 - Destinação'!$I$35</f>
        <v>0</v>
      </c>
      <c r="U132" s="2582">
        <f>U128*'CO2 - Destinação'!$J$35</f>
        <v>0</v>
      </c>
      <c r="V132" s="2582">
        <f>V128*'CO2 - Destinação'!$K$35</f>
        <v>0</v>
      </c>
      <c r="W132" s="2582">
        <f>W128*'CO2 - Destinação'!$K$35</f>
        <v>0</v>
      </c>
      <c r="X132" s="2582">
        <f>X128*'CO2 - Destinação'!$M$35</f>
        <v>0</v>
      </c>
      <c r="Y132" s="2488" t="s">
        <v>1401</v>
      </c>
      <c r="Z132" s="2063" t="s">
        <v>1414</v>
      </c>
      <c r="AA132" s="2433"/>
      <c r="AB132" s="2028"/>
      <c r="AC132" s="2570"/>
      <c r="AD132" s="1843"/>
      <c r="AE132" s="1843"/>
      <c r="AF132" s="1843"/>
      <c r="AG132" s="1843"/>
      <c r="AH132" s="1843"/>
      <c r="AI132" s="1843"/>
      <c r="AJ132" s="1843"/>
      <c r="AK132" s="1843"/>
    </row>
    <row r="133" spans="1:37" ht="18" customHeight="1" x14ac:dyDescent="0.2">
      <c r="A133" s="2063"/>
      <c r="B133" s="2549" t="s">
        <v>1109</v>
      </c>
      <c r="C133" s="2606">
        <v>0.7</v>
      </c>
      <c r="D133" s="2465">
        <f t="shared" ref="D133:K134" si="113">D104*$C133</f>
        <v>8.5293509714758173E-2</v>
      </c>
      <c r="E133" s="2465">
        <f t="shared" si="113"/>
        <v>6.8025873986655938E-2</v>
      </c>
      <c r="F133" s="2465">
        <f t="shared" si="113"/>
        <v>6.8025873986655938E-2</v>
      </c>
      <c r="G133" s="2465">
        <f t="shared" si="113"/>
        <v>6.8025873986655938E-2</v>
      </c>
      <c r="H133" s="2465">
        <f t="shared" si="113"/>
        <v>6.8025873986655938E-2</v>
      </c>
      <c r="I133" s="2465">
        <f t="shared" si="113"/>
        <v>6.8025873986655938E-2</v>
      </c>
      <c r="J133" s="2465">
        <f t="shared" si="113"/>
        <v>6.8025873986655938E-2</v>
      </c>
      <c r="K133" s="2465">
        <f t="shared" si="113"/>
        <v>6.8025873986655938E-2</v>
      </c>
      <c r="L133" s="2607" t="s">
        <v>194</v>
      </c>
      <c r="M133" s="2431"/>
      <c r="N133" s="2581" t="s">
        <v>1461</v>
      </c>
      <c r="O133" s="2579"/>
      <c r="P133" s="2580"/>
      <c r="Q133" s="2582">
        <f>Q132*$Q$26*10*0.3*$C$3/1000</f>
        <v>0</v>
      </c>
      <c r="R133" s="2582">
        <f>R132*$R$26*10*0.3*$C$3/1000</f>
        <v>0</v>
      </c>
      <c r="S133" s="2582">
        <f>S132*$R$26*10*0.3*$C$3/1000</f>
        <v>0</v>
      </c>
      <c r="T133" s="2582">
        <f>T132*$R$26*10*0.3*$C$3/1000</f>
        <v>0</v>
      </c>
      <c r="U133" s="2582">
        <f>U132*$U$26*10*0.3*$C$3/1000</f>
        <v>0</v>
      </c>
      <c r="V133" s="2582">
        <f>V132*$V$26*10*0.3*$C$3/1000</f>
        <v>0</v>
      </c>
      <c r="W133" s="2582">
        <f>W132*$V$26*10*0.3*$C$3/1000</f>
        <v>0</v>
      </c>
      <c r="X133" s="2582">
        <f>X132*$V$26*10*0.3*$C$3/1000</f>
        <v>0</v>
      </c>
      <c r="Y133" s="2488" t="s">
        <v>1322</v>
      </c>
      <c r="Z133" s="2063" t="s">
        <v>1414</v>
      </c>
      <c r="AA133" s="2433"/>
      <c r="AB133" s="2028"/>
      <c r="AC133" s="2570"/>
      <c r="AD133" s="1843"/>
      <c r="AE133" s="1843"/>
      <c r="AF133" s="1843"/>
      <c r="AG133" s="1843"/>
      <c r="AH133" s="1843"/>
      <c r="AI133" s="1843"/>
      <c r="AJ133" s="1843"/>
      <c r="AK133" s="1843"/>
    </row>
    <row r="134" spans="1:37" ht="18" customHeight="1" x14ac:dyDescent="0.2">
      <c r="A134" s="2063"/>
      <c r="B134" s="2549" t="s">
        <v>1110</v>
      </c>
      <c r="C134" s="2606">
        <v>0.7</v>
      </c>
      <c r="D134" s="2465">
        <f t="shared" si="113"/>
        <v>8.7897891690781299E-2</v>
      </c>
      <c r="E134" s="2465">
        <f t="shared" si="113"/>
        <v>8.1979520134530498E-2</v>
      </c>
      <c r="F134" s="2465">
        <f t="shared" si="113"/>
        <v>8.1979520134530498E-2</v>
      </c>
      <c r="G134" s="2465">
        <f t="shared" si="113"/>
        <v>8.1979520134530498E-2</v>
      </c>
      <c r="H134" s="2465">
        <f t="shared" si="113"/>
        <v>8.1979520134530498E-2</v>
      </c>
      <c r="I134" s="2465">
        <f t="shared" si="113"/>
        <v>8.1979520134530498E-2</v>
      </c>
      <c r="J134" s="2465">
        <f t="shared" si="113"/>
        <v>8.1979520134530498E-2</v>
      </c>
      <c r="K134" s="2465">
        <f t="shared" si="113"/>
        <v>8.1979520134530498E-2</v>
      </c>
      <c r="L134" s="2607" t="s">
        <v>194</v>
      </c>
      <c r="M134" s="2431"/>
      <c r="N134" s="2581" t="s">
        <v>1434</v>
      </c>
      <c r="O134" s="2579"/>
      <c r="P134" s="2580"/>
      <c r="Q134" s="2611">
        <f>$D$144*($D$153+$D$154)/33.5*0.9*44/12*1000</f>
        <v>526.49754740147955</v>
      </c>
      <c r="R134" s="2611">
        <f>$E$144*($E$153+$E$154)/33.5*0.9*44/12*1000</f>
        <v>500.53762448082119</v>
      </c>
      <c r="S134" s="2611">
        <f>$G$144*($G$153+$G$154)/33.5*0.9*44/12*1000</f>
        <v>500.53762448082119</v>
      </c>
      <c r="T134" s="2611">
        <f>$G$144*($G$153+$G$154)/33.5*0.9*44/12*1000</f>
        <v>500.53762448082119</v>
      </c>
      <c r="U134" s="2611">
        <f>$H$144*($H$153+$H$154)/33.5*0.9*44/12*1000</f>
        <v>500.53762448082119</v>
      </c>
      <c r="V134" s="2611">
        <f>$I$144*($I$153+$I$154)/33.5*0.9*44/12*1000</f>
        <v>500.53762448082119</v>
      </c>
      <c r="W134" s="2611">
        <f>$I$144*($I$153+$I$154)/33.5*0.9*44/12*1000</f>
        <v>500.53762448082119</v>
      </c>
      <c r="X134" s="2611">
        <f>$I$144*($I$153+$I$154)/33.5*0.9*44/12*1000</f>
        <v>500.53762448082119</v>
      </c>
      <c r="Y134" s="2488" t="s">
        <v>1350</v>
      </c>
      <c r="Z134" s="2062"/>
      <c r="AA134" s="2433"/>
      <c r="AB134" s="2028"/>
      <c r="AC134" s="2570"/>
      <c r="AD134" s="1843"/>
      <c r="AE134" s="1843"/>
      <c r="AF134" s="1843"/>
      <c r="AG134" s="1843"/>
      <c r="AH134" s="1843"/>
      <c r="AI134" s="1843"/>
      <c r="AJ134" s="1843"/>
      <c r="AK134" s="1843"/>
    </row>
    <row r="135" spans="1:37" ht="18" customHeight="1" x14ac:dyDescent="0.2">
      <c r="A135" s="2063"/>
      <c r="B135" s="2549" t="s">
        <v>50</v>
      </c>
      <c r="C135" s="2606"/>
      <c r="D135" s="2465"/>
      <c r="E135" s="2465"/>
      <c r="F135" s="2465"/>
      <c r="G135" s="2465"/>
      <c r="H135" s="2465"/>
      <c r="I135" s="2465"/>
      <c r="J135" s="2465"/>
      <c r="K135" s="2465"/>
      <c r="L135" s="2607" t="s">
        <v>194</v>
      </c>
      <c r="M135" s="2431"/>
      <c r="N135" s="2578" t="s">
        <v>1435</v>
      </c>
      <c r="O135" s="2608"/>
      <c r="P135" s="2609"/>
      <c r="Q135" s="2612">
        <f t="shared" ref="Q135:X135" si="114">IF(Q117+Q118=0,0,(Q119*$C$3+Q120*$C$6)/1000)+Q134</f>
        <v>526.49754740147955</v>
      </c>
      <c r="R135" s="2612">
        <f t="shared" si="114"/>
        <v>507.06991452262901</v>
      </c>
      <c r="S135" s="2612">
        <f t="shared" si="114"/>
        <v>597.6182986199409</v>
      </c>
      <c r="T135" s="2612">
        <f t="shared" si="114"/>
        <v>597.6182986199409</v>
      </c>
      <c r="U135" s="2612">
        <f t="shared" si="114"/>
        <v>500.53762448082119</v>
      </c>
      <c r="V135" s="2612">
        <f t="shared" si="114"/>
        <v>500.53762448082119</v>
      </c>
      <c r="W135" s="2612">
        <f t="shared" si="114"/>
        <v>500.53762448082119</v>
      </c>
      <c r="X135" s="2612">
        <f t="shared" si="114"/>
        <v>500.53762448082119</v>
      </c>
      <c r="Y135" s="2506" t="s">
        <v>1322</v>
      </c>
      <c r="Z135" s="2063"/>
      <c r="AA135" s="2433"/>
      <c r="AB135" s="2028"/>
      <c r="AC135" s="2570"/>
      <c r="AD135" s="1843"/>
      <c r="AE135" s="1843"/>
      <c r="AF135" s="1843"/>
      <c r="AG135" s="1843"/>
      <c r="AH135" s="1843"/>
      <c r="AI135" s="1843"/>
      <c r="AJ135" s="1843"/>
      <c r="AK135" s="1843"/>
    </row>
    <row r="136" spans="1:37" ht="18" customHeight="1" x14ac:dyDescent="0.2">
      <c r="A136" s="2063"/>
      <c r="B136" s="2549" t="s">
        <v>1111</v>
      </c>
      <c r="C136" s="2606"/>
      <c r="D136" s="2465"/>
      <c r="E136" s="2465"/>
      <c r="F136" s="2465"/>
      <c r="G136" s="2465"/>
      <c r="H136" s="2465"/>
      <c r="I136" s="2465"/>
      <c r="J136" s="2465"/>
      <c r="K136" s="2465"/>
      <c r="L136" s="2607" t="s">
        <v>194</v>
      </c>
      <c r="M136" s="2431"/>
      <c r="N136" s="2063"/>
      <c r="O136" s="2063"/>
      <c r="P136" s="2063"/>
      <c r="Q136" s="2063"/>
      <c r="R136" s="2063"/>
      <c r="S136" s="2063"/>
      <c r="T136" s="2063"/>
      <c r="U136" s="2063"/>
      <c r="V136" s="2063"/>
      <c r="W136" s="2063"/>
      <c r="X136" s="2063"/>
      <c r="Y136" s="2063"/>
      <c r="Z136" s="2063"/>
      <c r="AA136" s="2433"/>
      <c r="AB136" s="2028"/>
      <c r="AC136" s="2570"/>
      <c r="AD136" s="1843"/>
      <c r="AE136" s="1843"/>
      <c r="AF136" s="1843"/>
      <c r="AG136" s="1843"/>
      <c r="AH136" s="1843"/>
      <c r="AI136" s="1843"/>
      <c r="AJ136" s="1843"/>
      <c r="AK136" s="1843"/>
    </row>
    <row r="137" spans="1:37" ht="18" customHeight="1" x14ac:dyDescent="0.2">
      <c r="A137" s="2063"/>
      <c r="B137" s="2549" t="s">
        <v>1112</v>
      </c>
      <c r="C137" s="2606"/>
      <c r="D137" s="2465"/>
      <c r="E137" s="2465"/>
      <c r="F137" s="2465"/>
      <c r="G137" s="2465"/>
      <c r="H137" s="2465"/>
      <c r="I137" s="2465"/>
      <c r="J137" s="2465"/>
      <c r="K137" s="2465"/>
      <c r="L137" s="2607" t="s">
        <v>194</v>
      </c>
      <c r="M137" s="2431"/>
      <c r="N137" s="2613" t="s">
        <v>1462</v>
      </c>
      <c r="O137" s="2614"/>
      <c r="P137" s="2615"/>
      <c r="Q137" s="2063"/>
      <c r="R137" s="2063"/>
      <c r="S137" s="2063"/>
      <c r="T137" s="2063"/>
      <c r="U137" s="2063"/>
      <c r="V137" s="2063"/>
      <c r="W137" s="2063"/>
      <c r="X137" s="2063"/>
      <c r="Y137" s="2063"/>
      <c r="Z137" s="2063"/>
      <c r="AA137" s="2433"/>
      <c r="AB137" s="2028"/>
      <c r="AC137" s="2570"/>
      <c r="AD137" s="1843"/>
      <c r="AE137" s="1843"/>
      <c r="AF137" s="1843"/>
      <c r="AG137" s="1843"/>
      <c r="AH137" s="1843"/>
      <c r="AI137" s="1843"/>
      <c r="AJ137" s="1843"/>
      <c r="AK137" s="1843"/>
    </row>
    <row r="138" spans="1:37" ht="18" customHeight="1" x14ac:dyDescent="0.2">
      <c r="A138" s="2063"/>
      <c r="B138" s="2549" t="s">
        <v>1113</v>
      </c>
      <c r="C138" s="2606">
        <v>0.9</v>
      </c>
      <c r="D138" s="2465">
        <f t="shared" ref="D138:K143" si="115">D109*$C138</f>
        <v>4.1391070690367925E-2</v>
      </c>
      <c r="E138" s="2465">
        <f t="shared" si="115"/>
        <v>4.4543206910703396E-2</v>
      </c>
      <c r="F138" s="2465">
        <f t="shared" si="115"/>
        <v>4.4543206910703396E-2</v>
      </c>
      <c r="G138" s="2465">
        <f t="shared" si="115"/>
        <v>4.4543206910703396E-2</v>
      </c>
      <c r="H138" s="2465">
        <f t="shared" si="115"/>
        <v>4.4543206910703396E-2</v>
      </c>
      <c r="I138" s="2465">
        <f t="shared" si="115"/>
        <v>4.4543206910703396E-2</v>
      </c>
      <c r="J138" s="2465">
        <f t="shared" si="115"/>
        <v>4.4543206910703396E-2</v>
      </c>
      <c r="K138" s="2465">
        <f t="shared" si="115"/>
        <v>4.4543206910703396E-2</v>
      </c>
      <c r="L138" s="2607" t="s">
        <v>194</v>
      </c>
      <c r="M138" s="2431"/>
      <c r="N138" s="2616" t="s">
        <v>1463</v>
      </c>
      <c r="O138" s="2614"/>
      <c r="P138" s="2615"/>
      <c r="Q138" s="2617">
        <f>32.5*$C$3/1000</f>
        <v>2.4667500000000002</v>
      </c>
      <c r="R138" s="2617">
        <f t="shared" ref="R138:X138" si="116">32.5*$C$3/1000</f>
        <v>2.4667500000000002</v>
      </c>
      <c r="S138" s="2617">
        <f t="shared" si="116"/>
        <v>2.4667500000000002</v>
      </c>
      <c r="T138" s="2617">
        <f t="shared" si="116"/>
        <v>2.4667500000000002</v>
      </c>
      <c r="U138" s="2617">
        <f t="shared" si="116"/>
        <v>2.4667500000000002</v>
      </c>
      <c r="V138" s="2617">
        <f t="shared" si="116"/>
        <v>2.4667500000000002</v>
      </c>
      <c r="W138" s="2617">
        <f t="shared" si="116"/>
        <v>2.4667500000000002</v>
      </c>
      <c r="X138" s="2617">
        <f t="shared" si="116"/>
        <v>2.4667500000000002</v>
      </c>
      <c r="Y138" s="2062" t="s">
        <v>1322</v>
      </c>
      <c r="Z138" s="2063"/>
      <c r="AA138" s="2433"/>
      <c r="AB138" s="2028"/>
      <c r="AC138" s="2570"/>
      <c r="AD138" s="1843"/>
      <c r="AE138" s="1843"/>
      <c r="AF138" s="1843"/>
      <c r="AG138" s="1843"/>
      <c r="AH138" s="1843"/>
      <c r="AI138" s="1843"/>
      <c r="AJ138" s="1843"/>
      <c r="AK138" s="1843"/>
    </row>
    <row r="139" spans="1:37" ht="18" customHeight="1" x14ac:dyDescent="0.2">
      <c r="A139" s="2063"/>
      <c r="B139" s="2549" t="s">
        <v>1374</v>
      </c>
      <c r="C139" s="2606">
        <v>0.8</v>
      </c>
      <c r="D139" s="2465">
        <f t="shared" si="115"/>
        <v>7.9371641174038852E-3</v>
      </c>
      <c r="E139" s="2465">
        <f t="shared" si="115"/>
        <v>8.5416187034757056E-3</v>
      </c>
      <c r="F139" s="2465">
        <f t="shared" si="115"/>
        <v>8.5416187034757056E-3</v>
      </c>
      <c r="G139" s="2465">
        <f t="shared" si="115"/>
        <v>8.5416187034757056E-3</v>
      </c>
      <c r="H139" s="2465">
        <f t="shared" si="115"/>
        <v>8.5416187034757056E-3</v>
      </c>
      <c r="I139" s="2465">
        <f t="shared" si="115"/>
        <v>8.5416187034757056E-3</v>
      </c>
      <c r="J139" s="2465">
        <f t="shared" si="115"/>
        <v>8.5416187034757056E-3</v>
      </c>
      <c r="K139" s="2465">
        <f t="shared" si="115"/>
        <v>8.5416187034757056E-3</v>
      </c>
      <c r="L139" s="2607" t="s">
        <v>194</v>
      </c>
      <c r="M139" s="2431"/>
      <c r="N139" s="2618" t="s">
        <v>1464</v>
      </c>
      <c r="O139" s="2614"/>
      <c r="P139" s="2615"/>
      <c r="Q139" s="2619">
        <f>$D$144*$D$149*44/12*1000</f>
        <v>81.01946997934111</v>
      </c>
      <c r="R139" s="2619">
        <f>$E$144*$E$149*44/12*1000</f>
        <v>73.204738919990888</v>
      </c>
      <c r="S139" s="2619">
        <f>$G$144*$G$149*44/12*1000</f>
        <v>73.204738919990888</v>
      </c>
      <c r="T139" s="2619">
        <f>$G$144*$G$149*44/12*1000</f>
        <v>73.204738919990888</v>
      </c>
      <c r="U139" s="2619">
        <f>$H$144*$H$149*44/12*1000</f>
        <v>73.204738919990888</v>
      </c>
      <c r="V139" s="2619">
        <f>$I$144*$I$149*44/12*1000</f>
        <v>73.204738919990888</v>
      </c>
      <c r="W139" s="2619">
        <f>$I$144*$I$149*44/12*1000</f>
        <v>73.204738919990888</v>
      </c>
      <c r="X139" s="2619">
        <f>$I$144*$I$149*44/12*1000</f>
        <v>73.204738919990888</v>
      </c>
      <c r="Y139" s="2062" t="s">
        <v>1322</v>
      </c>
      <c r="Z139" s="2062"/>
      <c r="AA139" s="2433"/>
      <c r="AB139" s="2028"/>
      <c r="AC139" s="2570"/>
      <c r="AD139" s="1843"/>
      <c r="AE139" s="1843"/>
      <c r="AF139" s="1843"/>
      <c r="AG139" s="1843"/>
      <c r="AH139" s="1843"/>
      <c r="AI139" s="1843"/>
      <c r="AJ139" s="1843"/>
      <c r="AK139" s="1843"/>
    </row>
    <row r="140" spans="1:37" ht="18" customHeight="1" x14ac:dyDescent="0.2">
      <c r="A140" s="2063"/>
      <c r="B140" s="2549" t="s">
        <v>1320</v>
      </c>
      <c r="C140" s="2606">
        <v>1</v>
      </c>
      <c r="D140" s="2465">
        <f t="shared" si="115"/>
        <v>4.1339396444811903E-2</v>
      </c>
      <c r="E140" s="2465">
        <f t="shared" si="115"/>
        <v>4.4487597413935966E-2</v>
      </c>
      <c r="F140" s="2465">
        <f t="shared" si="115"/>
        <v>4.4487597413935966E-2</v>
      </c>
      <c r="G140" s="2465">
        <f t="shared" si="115"/>
        <v>4.4487597413935966E-2</v>
      </c>
      <c r="H140" s="2465">
        <f t="shared" si="115"/>
        <v>4.4487597413935966E-2</v>
      </c>
      <c r="I140" s="2465">
        <f t="shared" si="115"/>
        <v>4.4487597413935966E-2</v>
      </c>
      <c r="J140" s="2465">
        <f t="shared" si="115"/>
        <v>4.4487597413935966E-2</v>
      </c>
      <c r="K140" s="2465">
        <f t="shared" si="115"/>
        <v>4.4487597413935966E-2</v>
      </c>
      <c r="L140" s="2607" t="s">
        <v>194</v>
      </c>
      <c r="M140" s="2431"/>
      <c r="N140" s="2616" t="s">
        <v>1465</v>
      </c>
      <c r="O140" s="2620"/>
      <c r="P140" s="2621"/>
      <c r="Q140" s="2622">
        <v>0.35</v>
      </c>
      <c r="R140" s="2622">
        <v>0.35</v>
      </c>
      <c r="S140" s="2622">
        <v>0.35</v>
      </c>
      <c r="T140" s="2622">
        <v>0.35</v>
      </c>
      <c r="U140" s="2622">
        <v>0.35</v>
      </c>
      <c r="V140" s="2622">
        <v>0.35</v>
      </c>
      <c r="W140" s="2622">
        <v>0.35</v>
      </c>
      <c r="X140" s="2622">
        <v>0.35</v>
      </c>
      <c r="Y140" s="2062" t="s">
        <v>1417</v>
      </c>
      <c r="Z140" s="2063"/>
      <c r="AA140" s="2433"/>
      <c r="AB140" s="2028"/>
      <c r="AC140" s="2570"/>
      <c r="AD140" s="1843"/>
      <c r="AE140" s="1843"/>
      <c r="AF140" s="1843"/>
      <c r="AG140" s="1843"/>
      <c r="AH140" s="1843"/>
      <c r="AI140" s="1843"/>
      <c r="AJ140" s="1843"/>
      <c r="AK140" s="1843"/>
    </row>
    <row r="141" spans="1:37" ht="18" customHeight="1" x14ac:dyDescent="0.2">
      <c r="A141" s="2063"/>
      <c r="B141" s="2549" t="s">
        <v>1116</v>
      </c>
      <c r="C141" s="2606">
        <v>0.9</v>
      </c>
      <c r="D141" s="2465">
        <f t="shared" si="115"/>
        <v>6.7899958660603554E-3</v>
      </c>
      <c r="E141" s="2465">
        <f t="shared" si="115"/>
        <v>7.3070878752389823E-3</v>
      </c>
      <c r="F141" s="2465">
        <f t="shared" si="115"/>
        <v>7.3070878752389823E-3</v>
      </c>
      <c r="G141" s="2465">
        <f t="shared" si="115"/>
        <v>7.3070878752389823E-3</v>
      </c>
      <c r="H141" s="2465">
        <f t="shared" si="115"/>
        <v>7.3070878752389823E-3</v>
      </c>
      <c r="I141" s="2465">
        <f t="shared" si="115"/>
        <v>7.3070878752389823E-3</v>
      </c>
      <c r="J141" s="2465">
        <f t="shared" si="115"/>
        <v>7.3070878752389823E-3</v>
      </c>
      <c r="K141" s="2465">
        <f t="shared" si="115"/>
        <v>7.3070878752389823E-3</v>
      </c>
      <c r="L141" s="2607" t="s">
        <v>194</v>
      </c>
      <c r="N141" s="2616" t="s">
        <v>1466</v>
      </c>
      <c r="O141" s="2614"/>
      <c r="P141" s="2615"/>
      <c r="Q141" s="2623">
        <f>$D$179*(1-Q140)</f>
        <v>6.4854741659776782E-2</v>
      </c>
      <c r="R141" s="2623">
        <f>$E$179*(1-R140)</f>
        <v>6.7080587567607236E-2</v>
      </c>
      <c r="S141" s="2623">
        <f>$G$179*(1-S140)</f>
        <v>6.7080587567607236E-2</v>
      </c>
      <c r="T141" s="2623">
        <f>$G$179*(1-T140)</f>
        <v>6.7080587567607236E-2</v>
      </c>
      <c r="U141" s="2623">
        <f>$H$179*(1-U140)</f>
        <v>6.7080587567607236E-2</v>
      </c>
      <c r="V141" s="2623">
        <f>$I$179*(1-V140)</f>
        <v>6.7080587567607236E-2</v>
      </c>
      <c r="W141" s="2623">
        <f>$I$179*(1-W140)</f>
        <v>6.7080587567607236E-2</v>
      </c>
      <c r="X141" s="2623">
        <f>$I$179*(1-X140)</f>
        <v>6.7080587567607236E-2</v>
      </c>
      <c r="Y141" s="2062" t="s">
        <v>1417</v>
      </c>
      <c r="Z141" s="2063"/>
      <c r="AB141" s="1843"/>
      <c r="AC141" s="2570"/>
      <c r="AD141" s="1843"/>
      <c r="AE141" s="1843"/>
      <c r="AF141" s="1843"/>
      <c r="AG141" s="1843"/>
      <c r="AH141" s="1843"/>
      <c r="AI141" s="1843"/>
      <c r="AJ141" s="1843"/>
      <c r="AK141" s="1843"/>
    </row>
    <row r="142" spans="1:37" ht="18" customHeight="1" x14ac:dyDescent="0.2">
      <c r="A142" s="2063"/>
      <c r="B142" s="2549" t="s">
        <v>1117</v>
      </c>
      <c r="C142" s="2606"/>
      <c r="D142" s="2465"/>
      <c r="E142" s="2465"/>
      <c r="F142" s="2465"/>
      <c r="G142" s="2465"/>
      <c r="H142" s="2465"/>
      <c r="I142" s="2465"/>
      <c r="J142" s="2465"/>
      <c r="K142" s="2465"/>
      <c r="L142" s="2607" t="s">
        <v>194</v>
      </c>
      <c r="N142" s="2616" t="s">
        <v>1467</v>
      </c>
      <c r="O142" s="2620"/>
      <c r="P142" s="2621"/>
      <c r="Q142" s="2624">
        <f t="shared" ref="Q142:X142" si="117">D178</f>
        <v>2.9910834849111209E-2</v>
      </c>
      <c r="R142" s="2624">
        <f t="shared" si="117"/>
        <v>2.8092598969889689E-2</v>
      </c>
      <c r="S142" s="2624">
        <f t="shared" si="117"/>
        <v>2.8092598969889689E-2</v>
      </c>
      <c r="T142" s="2624">
        <f t="shared" si="117"/>
        <v>2.8092598969889689E-2</v>
      </c>
      <c r="U142" s="2624">
        <f t="shared" si="117"/>
        <v>2.8092598969889689E-2</v>
      </c>
      <c r="V142" s="2624">
        <f t="shared" si="117"/>
        <v>2.8092598969889689E-2</v>
      </c>
      <c r="W142" s="2624">
        <f t="shared" si="117"/>
        <v>2.8092598969889689E-2</v>
      </c>
      <c r="X142" s="2624">
        <f t="shared" si="117"/>
        <v>2.8092598969889689E-2</v>
      </c>
      <c r="Y142" s="2062" t="s">
        <v>1417</v>
      </c>
      <c r="Z142" s="2062"/>
      <c r="AB142" s="1843"/>
      <c r="AC142" s="2570"/>
      <c r="AD142" s="1843"/>
      <c r="AE142" s="1843"/>
      <c r="AF142" s="1843"/>
      <c r="AG142" s="1843"/>
      <c r="AH142" s="1843"/>
      <c r="AI142" s="1843"/>
      <c r="AJ142" s="1843"/>
      <c r="AK142" s="1843"/>
    </row>
    <row r="143" spans="1:37" ht="18" customHeight="1" x14ac:dyDescent="0.2">
      <c r="A143" s="2063"/>
      <c r="B143" s="2549" t="s">
        <v>1118</v>
      </c>
      <c r="C143" s="2606">
        <v>0.5</v>
      </c>
      <c r="D143" s="2465">
        <f t="shared" si="115"/>
        <v>3.389830508474577E-2</v>
      </c>
      <c r="E143" s="2465">
        <f t="shared" si="115"/>
        <v>3.6479829879427501E-2</v>
      </c>
      <c r="F143" s="2465">
        <f t="shared" si="115"/>
        <v>3.6479829879427501E-2</v>
      </c>
      <c r="G143" s="2465">
        <f t="shared" si="115"/>
        <v>3.6479829879427501E-2</v>
      </c>
      <c r="H143" s="2465">
        <f t="shared" si="115"/>
        <v>3.6479829879427501E-2</v>
      </c>
      <c r="I143" s="2465">
        <f t="shared" si="115"/>
        <v>3.6479829879427501E-2</v>
      </c>
      <c r="J143" s="2465">
        <f t="shared" si="115"/>
        <v>3.6479829879427501E-2</v>
      </c>
      <c r="K143" s="2465">
        <f t="shared" si="115"/>
        <v>3.6479829879427501E-2</v>
      </c>
      <c r="L143" s="2607" t="s">
        <v>194</v>
      </c>
      <c r="N143" s="2616" t="s">
        <v>1468</v>
      </c>
      <c r="O143" s="2620"/>
      <c r="P143" s="2621"/>
      <c r="Q143" s="2625">
        <v>100</v>
      </c>
      <c r="R143" s="2625">
        <v>100</v>
      </c>
      <c r="S143" s="2625">
        <v>100</v>
      </c>
      <c r="T143" s="2625">
        <v>100</v>
      </c>
      <c r="U143" s="2625">
        <v>100</v>
      </c>
      <c r="V143" s="2625">
        <v>100</v>
      </c>
      <c r="W143" s="2625">
        <v>100</v>
      </c>
      <c r="X143" s="2625">
        <v>100</v>
      </c>
      <c r="Y143" s="2062" t="s">
        <v>1469</v>
      </c>
      <c r="Z143" s="2062"/>
      <c r="AB143" s="1843"/>
      <c r="AC143" s="2570"/>
      <c r="AD143" s="1843"/>
      <c r="AE143" s="1843"/>
      <c r="AF143" s="1843"/>
      <c r="AG143" s="1843"/>
      <c r="AH143" s="1843"/>
      <c r="AI143" s="1843"/>
      <c r="AJ143" s="1843"/>
      <c r="AK143" s="1843"/>
    </row>
    <row r="144" spans="1:37" ht="18" customHeight="1" x14ac:dyDescent="0.2">
      <c r="A144" s="2437"/>
      <c r="B144" s="2529" t="s">
        <v>52</v>
      </c>
      <c r="C144" s="2504"/>
      <c r="D144" s="2594">
        <f t="shared" ref="D144:J144" si="118">SUM(D131:D143)</f>
        <v>0.30454733360892927</v>
      </c>
      <c r="E144" s="2594">
        <f t="shared" si="118"/>
        <v>0.29136473490396797</v>
      </c>
      <c r="F144" s="2594">
        <f t="shared" ref="F144" si="119">SUM(F131:F143)</f>
        <v>0.29136473490396797</v>
      </c>
      <c r="G144" s="2594">
        <f t="shared" si="118"/>
        <v>0.29136473490396797</v>
      </c>
      <c r="H144" s="2594">
        <f t="shared" si="118"/>
        <v>0.29136473490396797</v>
      </c>
      <c r="I144" s="2594">
        <f t="shared" si="118"/>
        <v>0.29136473490396797</v>
      </c>
      <c r="J144" s="2594">
        <f t="shared" si="118"/>
        <v>0.29136473490396797</v>
      </c>
      <c r="K144" s="2594">
        <f t="shared" ref="K144" si="120">SUM(K131:K143)</f>
        <v>0.29136473490396797</v>
      </c>
      <c r="L144" s="2607" t="s">
        <v>194</v>
      </c>
      <c r="N144" s="2616" t="s">
        <v>1470</v>
      </c>
      <c r="O144" s="2620"/>
      <c r="P144" s="2621"/>
      <c r="Q144" s="2625">
        <v>0.5</v>
      </c>
      <c r="R144" s="2625">
        <v>0.5</v>
      </c>
      <c r="S144" s="2625">
        <v>0.5</v>
      </c>
      <c r="T144" s="2625">
        <v>0.5</v>
      </c>
      <c r="U144" s="2625">
        <v>0.5</v>
      </c>
      <c r="V144" s="2625">
        <v>0.5</v>
      </c>
      <c r="W144" s="2625">
        <v>0.5</v>
      </c>
      <c r="X144" s="2625">
        <v>0.5</v>
      </c>
      <c r="Y144" s="2062" t="s">
        <v>1469</v>
      </c>
      <c r="Z144" s="2062"/>
      <c r="AB144" s="1843"/>
      <c r="AC144" s="2570"/>
      <c r="AD144" s="1843"/>
      <c r="AE144" s="1843"/>
      <c r="AF144" s="1843"/>
      <c r="AG144" s="1843"/>
      <c r="AH144" s="1843"/>
      <c r="AI144" s="1843"/>
      <c r="AJ144" s="1843"/>
      <c r="AK144" s="1843"/>
    </row>
    <row r="145" spans="1:37" ht="18" customHeight="1" x14ac:dyDescent="0.2">
      <c r="A145" s="2062"/>
      <c r="B145" s="2062"/>
      <c r="C145" s="2062"/>
      <c r="D145" s="2062"/>
      <c r="E145" s="2062"/>
      <c r="F145" s="2062"/>
      <c r="G145" s="2062"/>
      <c r="H145" s="2062"/>
      <c r="I145" s="2062"/>
      <c r="J145" s="2062"/>
      <c r="K145" s="2062"/>
      <c r="L145" s="2062"/>
      <c r="N145" s="2616" t="s">
        <v>1471</v>
      </c>
      <c r="O145" s="2620"/>
      <c r="P145" s="2621"/>
      <c r="Q145" s="2625">
        <v>2</v>
      </c>
      <c r="R145" s="2625">
        <v>2</v>
      </c>
      <c r="S145" s="2625">
        <v>2</v>
      </c>
      <c r="T145" s="2625">
        <v>2</v>
      </c>
      <c r="U145" s="2625">
        <v>2</v>
      </c>
      <c r="V145" s="2625">
        <v>2</v>
      </c>
      <c r="W145" s="2625">
        <v>2</v>
      </c>
      <c r="X145" s="2625">
        <v>2</v>
      </c>
      <c r="Y145" s="2062" t="s">
        <v>1469</v>
      </c>
      <c r="Z145" s="2062"/>
      <c r="AB145" s="1843"/>
      <c r="AC145" s="2570"/>
      <c r="AD145" s="1843"/>
      <c r="AE145" s="1843"/>
      <c r="AF145" s="1843"/>
      <c r="AG145" s="1843"/>
      <c r="AH145" s="1843"/>
      <c r="AI145" s="1843"/>
      <c r="AJ145" s="1843"/>
      <c r="AK145" s="1843"/>
    </row>
    <row r="146" spans="1:37" ht="18" customHeight="1" x14ac:dyDescent="0.2">
      <c r="A146" s="1987" t="s">
        <v>1472</v>
      </c>
      <c r="B146" s="2197"/>
      <c r="C146" s="2063"/>
      <c r="D146" s="2063"/>
      <c r="E146" s="2063"/>
      <c r="F146" s="2063"/>
      <c r="G146" s="2063"/>
      <c r="H146" s="2063"/>
      <c r="I146" s="2063"/>
      <c r="J146" s="2063"/>
      <c r="K146" s="2063"/>
      <c r="L146" s="2063"/>
      <c r="N146" s="2616" t="s">
        <v>1473</v>
      </c>
      <c r="O146" s="2614"/>
      <c r="P146" s="2626"/>
      <c r="Q146" s="2627">
        <f>$D$173*(Q143*$C$3+Q144*$C$4+Q145*$C$5)/1000</f>
        <v>6.8004147798334751</v>
      </c>
      <c r="R146" s="2627">
        <f>$E$173*(R143*$C$3+R144*$C$4+R145*$C$5)/1000</f>
        <v>6.9293195111001511</v>
      </c>
      <c r="S146" s="2627">
        <f>$E$173*(S143*$C$3+S144*$C$4+S145*$C$5)/1000</f>
        <v>6.9293195111001511</v>
      </c>
      <c r="T146" s="2627">
        <f>$E$173*(T143*$C$3+T144*$C$4+T145*$C$5)/1000</f>
        <v>6.9293195111001511</v>
      </c>
      <c r="U146" s="2627">
        <f>$H$173*(U143*$C$3+U144*$C$4+U145*$C$5)/1000</f>
        <v>6.9293195111001511</v>
      </c>
      <c r="V146" s="2627">
        <f>$I$173*(V143*$C$3+V144*$C$4+V145*$C$5)/1000</f>
        <v>6.9293195111001511</v>
      </c>
      <c r="W146" s="2627">
        <f>$I$173*(W143*$C$3+W144*$C$4+W145*$C$5)/1000</f>
        <v>6.9293195111001511</v>
      </c>
      <c r="X146" s="2627">
        <f>$I$173*(X143*$C$3+X144*$C$4+X145*$C$5)/1000</f>
        <v>6.9293195111001511</v>
      </c>
      <c r="Y146" s="2062" t="s">
        <v>1322</v>
      </c>
      <c r="Z146" s="2063"/>
      <c r="AB146" s="1843"/>
      <c r="AC146" s="2570"/>
      <c r="AD146" s="1843"/>
      <c r="AE146" s="1843"/>
      <c r="AF146" s="1843"/>
      <c r="AG146" s="1843"/>
      <c r="AH146" s="1843"/>
      <c r="AI146" s="1843"/>
      <c r="AJ146" s="1843"/>
      <c r="AK146" s="1843"/>
    </row>
    <row r="147" spans="1:37" ht="18" customHeight="1" x14ac:dyDescent="0.2">
      <c r="A147" s="2063"/>
      <c r="B147" s="2628" t="s">
        <v>1474</v>
      </c>
      <c r="C147" s="2197"/>
      <c r="D147" s="2077" t="str">
        <f t="shared" ref="D147:K147" si="121">+D101</f>
        <v>Cenário-Base</v>
      </c>
      <c r="E147" s="2077" t="str">
        <f t="shared" si="121"/>
        <v>Biodigestão RT1A + CDR TM</v>
      </c>
      <c r="F147" s="2077" t="str">
        <f t="shared" si="121"/>
        <v>Biodigestão RT1B + CDR TM</v>
      </c>
      <c r="G147" s="2077" t="str">
        <f t="shared" si="121"/>
        <v>Biodigestão RT1C + CDR TM</v>
      </c>
      <c r="H147" s="2077" t="str">
        <f t="shared" si="121"/>
        <v>Compostagem + CDR TM</v>
      </c>
      <c r="I147" s="2077" t="str">
        <f t="shared" si="121"/>
        <v xml:space="preserve">Biosecagem + CDR TMB </v>
      </c>
      <c r="J147" s="2077" t="str">
        <f t="shared" si="121"/>
        <v>Incineração Mass Burning</v>
      </c>
      <c r="K147" s="2077" t="str">
        <f t="shared" si="121"/>
        <v>Incineração Mass Burn. Descentralizada</v>
      </c>
      <c r="L147" s="2063"/>
      <c r="N147" s="2616" t="s">
        <v>1475</v>
      </c>
      <c r="O147" s="2614"/>
      <c r="P147" s="2626"/>
      <c r="Q147" s="2627">
        <v>0</v>
      </c>
      <c r="R147" s="2627">
        <v>0</v>
      </c>
      <c r="S147" s="2627">
        <v>0</v>
      </c>
      <c r="T147" s="2627">
        <v>0</v>
      </c>
      <c r="U147" s="2627">
        <v>0</v>
      </c>
      <c r="V147" s="2627">
        <v>0</v>
      </c>
      <c r="W147" s="2627">
        <v>0</v>
      </c>
      <c r="X147" s="2627">
        <v>0</v>
      </c>
      <c r="Y147" s="2062" t="s">
        <v>1322</v>
      </c>
      <c r="Z147" s="2062"/>
      <c r="AB147" s="1843"/>
      <c r="AC147" s="2570"/>
      <c r="AD147" s="1843"/>
      <c r="AE147" s="1843"/>
      <c r="AF147" s="1843"/>
      <c r="AG147" s="1843"/>
      <c r="AH147" s="1843"/>
      <c r="AI147" s="1843"/>
      <c r="AJ147" s="1843"/>
      <c r="AK147" s="1843"/>
    </row>
    <row r="148" spans="1:37" ht="18" customHeight="1" x14ac:dyDescent="0.2">
      <c r="A148" s="2063"/>
      <c r="B148" s="2192" t="s">
        <v>1476</v>
      </c>
      <c r="C148" s="2165"/>
      <c r="D148" s="2474">
        <f t="shared" ref="D148:K148" si="122">+D131*$C$11+D132*$C$12+D133*$C$13+D134*$C$14+D135*$C$15+D136*$C$16+D137*$C$17+D138*$C$18+D139*$C$19+D140*$C$20+D141*$C$21+D142*$C$22+D143*$C$23</f>
        <v>0.13763601694915256</v>
      </c>
      <c r="E148" s="2474">
        <f t="shared" si="122"/>
        <v>0.12882056105533479</v>
      </c>
      <c r="F148" s="2474">
        <f t="shared" si="122"/>
        <v>0.12882056105533479</v>
      </c>
      <c r="G148" s="2474">
        <f t="shared" si="122"/>
        <v>0.12882056105533479</v>
      </c>
      <c r="H148" s="2474">
        <f t="shared" si="122"/>
        <v>0.12882056105533479</v>
      </c>
      <c r="I148" s="2474">
        <f t="shared" si="122"/>
        <v>0.12882056105533479</v>
      </c>
      <c r="J148" s="2474">
        <f t="shared" si="122"/>
        <v>0.12882056105533479</v>
      </c>
      <c r="K148" s="2474">
        <f t="shared" si="122"/>
        <v>0.12882056105533479</v>
      </c>
      <c r="L148" s="2062" t="s">
        <v>1304</v>
      </c>
      <c r="N148" s="2616" t="s">
        <v>1477</v>
      </c>
      <c r="O148" s="2620"/>
      <c r="P148" s="2621"/>
      <c r="Q148" s="2622">
        <v>0.25</v>
      </c>
      <c r="R148" s="2622">
        <v>0.25</v>
      </c>
      <c r="S148" s="2622">
        <v>0.25</v>
      </c>
      <c r="T148" s="2622">
        <v>0.25</v>
      </c>
      <c r="U148" s="2622">
        <v>0.25</v>
      </c>
      <c r="V148" s="2622">
        <v>0.25</v>
      </c>
      <c r="W148" s="2622">
        <v>0.25</v>
      </c>
      <c r="X148" s="2622">
        <v>0.25</v>
      </c>
      <c r="Y148" s="2062" t="s">
        <v>1478</v>
      </c>
      <c r="Z148" s="2062"/>
      <c r="AB148" s="1843"/>
      <c r="AC148" s="2570"/>
      <c r="AD148" s="1843"/>
      <c r="AE148" s="1843"/>
      <c r="AF148" s="1843"/>
      <c r="AG148" s="1843"/>
      <c r="AH148" s="1843"/>
      <c r="AI148" s="1843"/>
      <c r="AJ148" s="1843"/>
      <c r="AK148" s="1843"/>
    </row>
    <row r="149" spans="1:37" ht="18" customHeight="1" x14ac:dyDescent="0.2">
      <c r="A149" s="2063"/>
      <c r="B149" s="2192" t="s">
        <v>1479</v>
      </c>
      <c r="C149" s="2165"/>
      <c r="D149" s="2599">
        <f t="shared" ref="D149:K149" si="123">+D131*$C$11*$D$11+D132*$C$12*$D$12+D133*$C$13*$D$13+D134*$C$14*$D$14+D135*$C$15*$D$15+D136*$C$16*$D$16+D137*$C$17*$D$17+D138*$C$18*$D$18+D139*$C$19*$D$19+D140*$C$20*$D$20+D141*$C$21*$D$21+D142*$C$22*$D$22+D143*$C$23*$D$23</f>
        <v>7.2554301570897053E-2</v>
      </c>
      <c r="E149" s="2599">
        <f t="shared" si="123"/>
        <v>6.8522118172405E-2</v>
      </c>
      <c r="F149" s="2599">
        <f t="shared" si="123"/>
        <v>6.8522118172405E-2</v>
      </c>
      <c r="G149" s="2599">
        <f t="shared" si="123"/>
        <v>6.8522118172405E-2</v>
      </c>
      <c r="H149" s="2599">
        <f t="shared" si="123"/>
        <v>6.8522118172405E-2</v>
      </c>
      <c r="I149" s="2629">
        <f t="shared" si="123"/>
        <v>6.8522118172405E-2</v>
      </c>
      <c r="J149" s="2629">
        <f t="shared" si="123"/>
        <v>6.8522118172405E-2</v>
      </c>
      <c r="K149" s="2629">
        <f t="shared" si="123"/>
        <v>6.8522118172405E-2</v>
      </c>
      <c r="L149" s="2062" t="s">
        <v>1304</v>
      </c>
      <c r="N149" s="2616" t="s">
        <v>1480</v>
      </c>
      <c r="O149" s="2620"/>
      <c r="P149" s="2621"/>
      <c r="Q149" s="2617">
        <f>($D$182+$D$183)/(1-Q148)</f>
        <v>5.648778458063366</v>
      </c>
      <c r="R149" s="2617">
        <f>($E$182+$E$183)/(1-R148)</f>
        <v>5.4251485239575858</v>
      </c>
      <c r="S149" s="2617">
        <f>($G$182+$G$183)/(1-S148)</f>
        <v>5.4251485239575858</v>
      </c>
      <c r="T149" s="2617">
        <f>($G$182+$G$183)/(1-T148)</f>
        <v>5.4251485239575858</v>
      </c>
      <c r="U149" s="2617">
        <f>($H$182+$H$183)/(1-U148)</f>
        <v>5.4251485239575858</v>
      </c>
      <c r="V149" s="2617">
        <f>($I$182+$I$183)/(1-V148)</f>
        <v>5.4251485239575858</v>
      </c>
      <c r="W149" s="2617">
        <f>($I$182+$I$183)/(1-W148)</f>
        <v>5.4251485239575858</v>
      </c>
      <c r="X149" s="2617">
        <f>($I$182+$I$183)/(1-X148)</f>
        <v>5.4251485239575858</v>
      </c>
      <c r="Y149" s="2062" t="s">
        <v>1481</v>
      </c>
      <c r="Z149" s="2062"/>
      <c r="AB149" s="1843"/>
      <c r="AC149" s="2570"/>
      <c r="AD149" s="1843"/>
      <c r="AE149" s="1843"/>
      <c r="AF149" s="1843"/>
      <c r="AG149" s="1843"/>
      <c r="AH149" s="1843"/>
      <c r="AI149" s="1843"/>
      <c r="AJ149" s="1843"/>
      <c r="AK149" s="1843"/>
    </row>
    <row r="150" spans="1:37" ht="18" customHeight="1" x14ac:dyDescent="0.2">
      <c r="A150" s="2063"/>
      <c r="B150" s="2192" t="s">
        <v>1482</v>
      </c>
      <c r="C150" s="2165"/>
      <c r="D150" s="2465">
        <f t="shared" ref="D150:K150" si="124">+D148-D149</f>
        <v>6.5081715378255509E-2</v>
      </c>
      <c r="E150" s="2465">
        <f t="shared" si="124"/>
        <v>6.0298442882929792E-2</v>
      </c>
      <c r="F150" s="2465">
        <f t="shared" si="124"/>
        <v>6.0298442882929792E-2</v>
      </c>
      <c r="G150" s="2465">
        <f t="shared" si="124"/>
        <v>6.0298442882929792E-2</v>
      </c>
      <c r="H150" s="2465">
        <f t="shared" si="124"/>
        <v>6.0298442882929792E-2</v>
      </c>
      <c r="I150" s="2465">
        <f t="shared" si="124"/>
        <v>6.0298442882929792E-2</v>
      </c>
      <c r="J150" s="2465">
        <f t="shared" si="124"/>
        <v>6.0298442882929792E-2</v>
      </c>
      <c r="K150" s="2465">
        <f t="shared" si="124"/>
        <v>6.0298442882929792E-2</v>
      </c>
      <c r="L150" s="2062" t="s">
        <v>1304</v>
      </c>
      <c r="N150" s="2618" t="s">
        <v>1483</v>
      </c>
      <c r="O150" s="2620"/>
      <c r="P150" s="2621"/>
      <c r="Q150" s="2617">
        <f>$D$173*Q142*44/12*1000</f>
        <v>76.272422782590269</v>
      </c>
      <c r="R150" s="2617">
        <f>$E$173*R142*44/12*1000</f>
        <v>72.993823166969108</v>
      </c>
      <c r="S150" s="2617">
        <f>$E$173*S142*44/12*1000</f>
        <v>72.993823166969108</v>
      </c>
      <c r="T150" s="2617">
        <f>$E$173*T142*44/12*1000</f>
        <v>72.993823166969108</v>
      </c>
      <c r="U150" s="2617">
        <f>$H$173*U142*44/12*1000</f>
        <v>72.993823166969108</v>
      </c>
      <c r="V150" s="2617">
        <f>$I$173*V142*44/12*1000</f>
        <v>72.993823166969108</v>
      </c>
      <c r="W150" s="2617">
        <f>$I$173*W142*44/12*1000</f>
        <v>72.993823166969108</v>
      </c>
      <c r="X150" s="2617">
        <f>$I$173*X142*44/12*1000</f>
        <v>72.993823166969108</v>
      </c>
      <c r="Y150" s="2062" t="s">
        <v>1322</v>
      </c>
      <c r="Z150" s="2063"/>
      <c r="AB150" s="1843"/>
      <c r="AC150" s="2570"/>
      <c r="AD150" s="1843"/>
      <c r="AE150" s="1843"/>
      <c r="AF150" s="1843"/>
      <c r="AG150" s="1843"/>
      <c r="AH150" s="1843"/>
      <c r="AI150" s="1843"/>
      <c r="AJ150" s="1843"/>
      <c r="AK150" s="1843"/>
    </row>
    <row r="151" spans="1:37" ht="18" customHeight="1" x14ac:dyDescent="0.2">
      <c r="A151" s="2063"/>
      <c r="B151" s="2063"/>
      <c r="C151" s="2063"/>
      <c r="D151" s="2063"/>
      <c r="E151" s="2063"/>
      <c r="F151" s="2063"/>
      <c r="G151" s="2063"/>
      <c r="H151" s="2063"/>
      <c r="I151" s="2063"/>
      <c r="J151" s="2063"/>
      <c r="K151" s="2063"/>
      <c r="L151" s="2063"/>
      <c r="N151" s="2630" t="s">
        <v>1366</v>
      </c>
      <c r="O151" s="2631"/>
      <c r="P151" s="2632"/>
      <c r="Q151" s="2633">
        <f t="shared" ref="Q151:X151" si="125">Q138+Q139+Q146+Q147+Q150</f>
        <v>166.55905754176484</v>
      </c>
      <c r="R151" s="2633">
        <f t="shared" si="125"/>
        <v>155.59463159806015</v>
      </c>
      <c r="S151" s="2633">
        <f t="shared" si="125"/>
        <v>155.59463159806015</v>
      </c>
      <c r="T151" s="2633">
        <f t="shared" si="125"/>
        <v>155.59463159806015</v>
      </c>
      <c r="U151" s="2633">
        <f t="shared" si="125"/>
        <v>155.59463159806015</v>
      </c>
      <c r="V151" s="2633">
        <f t="shared" si="125"/>
        <v>155.59463159806015</v>
      </c>
      <c r="W151" s="2633">
        <f t="shared" si="125"/>
        <v>155.59463159806015</v>
      </c>
      <c r="X151" s="2633">
        <f t="shared" si="125"/>
        <v>155.59463159806015</v>
      </c>
      <c r="Y151" s="2471" t="s">
        <v>1322</v>
      </c>
      <c r="Z151" s="2063"/>
      <c r="AB151" s="1843"/>
      <c r="AC151" s="2570"/>
      <c r="AD151" s="1843"/>
      <c r="AE151" s="1843"/>
      <c r="AF151" s="1843"/>
      <c r="AG151" s="1843"/>
      <c r="AH151" s="1843"/>
      <c r="AI151" s="1843"/>
      <c r="AJ151" s="1843"/>
      <c r="AK151" s="1843"/>
    </row>
    <row r="152" spans="1:37" ht="18" customHeight="1" x14ac:dyDescent="0.2">
      <c r="A152" s="2634"/>
      <c r="B152" s="2635" t="s">
        <v>1484</v>
      </c>
      <c r="C152" s="2197"/>
      <c r="D152" s="2077" t="str">
        <f t="shared" ref="D152:K152" si="126">+D101</f>
        <v>Cenário-Base</v>
      </c>
      <c r="E152" s="2077" t="str">
        <f t="shared" si="126"/>
        <v>Biodigestão RT1A + CDR TM</v>
      </c>
      <c r="F152" s="2077" t="str">
        <f t="shared" si="126"/>
        <v>Biodigestão RT1B + CDR TM</v>
      </c>
      <c r="G152" s="2077" t="str">
        <f t="shared" si="126"/>
        <v>Biodigestão RT1C + CDR TM</v>
      </c>
      <c r="H152" s="2077" t="str">
        <f t="shared" si="126"/>
        <v>Compostagem + CDR TM</v>
      </c>
      <c r="I152" s="2077" t="str">
        <f t="shared" si="126"/>
        <v xml:space="preserve">Biosecagem + CDR TMB </v>
      </c>
      <c r="J152" s="2077" t="str">
        <f t="shared" si="126"/>
        <v>Incineração Mass Burning</v>
      </c>
      <c r="K152" s="2077" t="str">
        <f t="shared" si="126"/>
        <v>Incineração Mass Burn. Descentralizada</v>
      </c>
      <c r="L152" s="2063"/>
      <c r="N152" s="2616" t="s">
        <v>1485</v>
      </c>
      <c r="O152" s="2614"/>
      <c r="P152" s="2615"/>
      <c r="Q152" s="2636">
        <f>$D$144*($D$153+$D$154)/33.5*0.9*44/12*1000</f>
        <v>526.49754740147955</v>
      </c>
      <c r="R152" s="2636">
        <f>$E$144*($E$153+$E$154)/33.5*0.9*44/12*1000</f>
        <v>500.53762448082119</v>
      </c>
      <c r="S152" s="2636">
        <f>$G$144*($G$153+$G$154)/33.5*0.9*44/12*1000</f>
        <v>500.53762448082119</v>
      </c>
      <c r="T152" s="2636">
        <f>$G$144*($G$153+$G$154)/33.5*0.9*44/12*1000</f>
        <v>500.53762448082119</v>
      </c>
      <c r="U152" s="2636">
        <f>$H$144*($H$153+$H$154)/33.5*0.9*44/12*1000</f>
        <v>500.53762448082119</v>
      </c>
      <c r="V152" s="2636">
        <f>$I$144*($I$153+$I$154)/33.5*0.9*44/12*1000</f>
        <v>500.53762448082119</v>
      </c>
      <c r="W152" s="2636">
        <f>$I$144*($I$153+$I$154)/33.5*0.9*44/12*1000</f>
        <v>500.53762448082119</v>
      </c>
      <c r="X152" s="2636">
        <f>$I$144*($I$153+$I$154)/33.5*0.9*44/12*1000</f>
        <v>500.53762448082119</v>
      </c>
      <c r="Y152" s="2062" t="s">
        <v>1350</v>
      </c>
      <c r="Z152" s="2063"/>
      <c r="AB152" s="1843"/>
      <c r="AC152" s="2570"/>
      <c r="AD152" s="1843"/>
      <c r="AE152" s="1843"/>
      <c r="AF152" s="1843"/>
      <c r="AG152" s="1843"/>
      <c r="AH152" s="1843"/>
      <c r="AI152" s="1843"/>
      <c r="AJ152" s="1843"/>
      <c r="AK152" s="1843"/>
    </row>
    <row r="153" spans="1:37" ht="18" customHeight="1" x14ac:dyDescent="0.2">
      <c r="A153" s="2600"/>
      <c r="B153" s="2601" t="s">
        <v>1486</v>
      </c>
      <c r="C153" s="2472"/>
      <c r="D153" s="2482">
        <f>+((D131+D132)*$C$29+D133*$C$31+D134*$C$32+D135*$C$33+(D136+D137)*$C$34+(D138+D139+D140)*$C$35+D141*$C$36+D142*$C$37+D143*$C$38)*'CO2 - Início'!$E$55/IF(D144=0,1,D144)</f>
        <v>0</v>
      </c>
      <c r="E153" s="2482">
        <f>+((E131+E132)*$C$29+E133*$C$31+E134*$C$32+E135*$C$33+(E136+E137)*$C$34+(E138+E139+E140)*$C$35+E141*$C$36+E142*$C$37+E143*$C$38)*'CO2 - Início'!$E$55/IF(E144=0,1,E144)</f>
        <v>0</v>
      </c>
      <c r="F153" s="2482">
        <f>+((F131+F132)*$C$29+F133*$C$31+F134*$C$32+F135*$C$33+(F136+F137)*$C$34+(F138+F139+F140)*$C$35+F141*$C$36+F142*$C$37+F143*$C$38)*'CO2 - Início'!$E$55/IF(F144=0,1,F144)</f>
        <v>0</v>
      </c>
      <c r="G153" s="2482">
        <f>+((G131+G132)*$C$29+G133*$C$31+G134*$C$32+G135*$C$33+(G136+G137)*$C$34+(G138+G139+G140)*$C$35+G141*$C$36+G142*$C$37+G143*$C$38)*'CO2 - Início'!$E$55/IF(G144=0,1,G144)</f>
        <v>0</v>
      </c>
      <c r="H153" s="2482">
        <f>+((H131+H132)*$C$29+H133*$C$31+H134*$C$32+H135*$C$33+(H136+H137)*$C$34+(H138+H139+H140)*$C$35+H141*$C$36+H142*$C$37+H143*$C$38)*'CO2 - Início'!$E$55/IF(H144=0,1,H144)</f>
        <v>0</v>
      </c>
      <c r="I153" s="2482">
        <f>+((I131+I132)*$C$29+I133*$C$31+I134*$C$32+I135*$C$33+(I136+I137)*$C$34+(I138+I139+I140)*$C$35+I141*$C$36+I142*$C$37+I143*$C$38)*'CO2 - Início'!$E$55/IF(I144=0,1,I144)</f>
        <v>0</v>
      </c>
      <c r="J153" s="2482">
        <f>+((J131+J132)*$C$29+J133*$C$31+J134*$C$32+J135*$C$33+(J136+J137)*$C$34+(J138+J139+J140)*$C$35+J141*$C$36+J142*$C$37+J143*$C$38)*'CO2 - Início'!$E$55/IF(J144=0,1,J144)</f>
        <v>0</v>
      </c>
      <c r="K153" s="2482">
        <f>+((K131+K132)*$C$29+K133*$C$31+K134*$C$32+K135*$C$33+(K136+K137)*$C$34+(K138+K139+K140)*$C$35+K141*$C$36+K142*$C$37+K143*$C$38)*'CO2 - Início'!$E$55/IF(K144=0,1,K144)</f>
        <v>0</v>
      </c>
      <c r="L153" s="2062" t="s">
        <v>1396</v>
      </c>
      <c r="N153" s="2616" t="s">
        <v>1487</v>
      </c>
      <c r="O153" s="2620"/>
      <c r="P153" s="2621"/>
      <c r="Q153" s="2636">
        <f>$D$173*Q149/33.5*0.9*44/12*1000</f>
        <v>386.98243384154057</v>
      </c>
      <c r="R153" s="2636">
        <f>$E$173*R149/33.5*0.9*44/12*1000</f>
        <v>378.70716883934637</v>
      </c>
      <c r="S153" s="2636">
        <f>$E$173*S149/33.5*0.9*44/12*1000</f>
        <v>378.70716883934637</v>
      </c>
      <c r="T153" s="2636">
        <f>$E$173*T149/33.5*0.9*44/12*1000</f>
        <v>378.70716883934637</v>
      </c>
      <c r="U153" s="2636">
        <f>$H$173*U149/33.5*0.9*44/12*1000</f>
        <v>378.70716883934637</v>
      </c>
      <c r="V153" s="2636">
        <f>$I$173*V149/33.5*0.9*44/12*1000</f>
        <v>378.70716883934637</v>
      </c>
      <c r="W153" s="2636">
        <f>$I$173*W149/33.5*0.9*44/12*1000</f>
        <v>378.70716883934637</v>
      </c>
      <c r="X153" s="2636">
        <f>$I$173*X149/33.5*0.9*44/12*1000</f>
        <v>378.70716883934637</v>
      </c>
      <c r="Y153" s="2062" t="s">
        <v>1350</v>
      </c>
      <c r="Z153" s="2063"/>
      <c r="AB153" s="1843"/>
      <c r="AC153" s="2570"/>
      <c r="AD153" s="1843"/>
      <c r="AE153" s="1843"/>
      <c r="AF153" s="1843"/>
      <c r="AG153" s="1843"/>
      <c r="AH153" s="1843"/>
      <c r="AI153" s="1843"/>
      <c r="AJ153" s="1843"/>
      <c r="AK153" s="1843"/>
    </row>
    <row r="154" spans="1:37" ht="18" customHeight="1" x14ac:dyDescent="0.2">
      <c r="A154" s="2600"/>
      <c r="B154" s="2601" t="s">
        <v>1488</v>
      </c>
      <c r="C154" s="2472"/>
      <c r="D154" s="2482">
        <f>+((D131+D132)*$C$30+D133*$C$31+D134*$C$32+D135*$C$33+(D136+D137)*$C$34+(D138+D139+D140)*$C$35+D141*$C$36+D142*$C$37+D143*$C$39)*'CO2 - Início'!$E$56/IF(D144=0,1,D144)</f>
        <v>17.549809963350079</v>
      </c>
      <c r="E154" s="2482">
        <f>+((E131+E132)*$C$30+E133*$C$31+E134*$C$32+E135*$C$33+(E136+E137)*$C$34+(E138+E139+E140)*$C$35+E141*$C$36+E142*$C$37+E143*$C$39)*'CO2 - Início'!$E$56/IF(E144=0,1,E144)</f>
        <v>17.439362661700272</v>
      </c>
      <c r="F154" s="2482">
        <f>+((F131+F132)*$C$30+F133*$C$31+F134*$C$32+F135*$C$33+(F136+F137)*$C$34+(F138+F139+F140)*$C$35+F141*$C$36+F142*$C$37+F143*$C$39)*'CO2 - Início'!$E$56/IF(F144=0,1,F144)</f>
        <v>17.439362661700272</v>
      </c>
      <c r="G154" s="2482">
        <f>+((G131+G132)*$C$30+G133*$C$31+G134*$C$32+G135*$C$33+(G136+G137)*$C$34+(G138+G139+G140)*$C$35+G141*$C$36+G142*$C$37+G143*$C$39)*'CO2 - Início'!$E$56/IF(G144=0,1,G144)</f>
        <v>17.439362661700272</v>
      </c>
      <c r="H154" s="2482">
        <f>+((H131+H132)*$C$30+H133*$C$31+H134*$C$32+H135*$C$33+(H136+H137)*$C$34+(H138+H139+H140)*$C$35+H141*$C$36+H142*$C$37+H143*$C$39)*'CO2 - Início'!$E$56/IF(H144=0,1,H144)</f>
        <v>17.439362661700272</v>
      </c>
      <c r="I154" s="2482">
        <f>+((I131+I132)*$C$30+I133*$C$31+I134*$C$32+I135*$C$33+(I136+I137)*$C$34+(I138+I139+I140)*$C$35+I141*$C$36+I142*$C$37+I143*$C$39)*'CO2 - Início'!$E$56/IF(I144=0,1,I144)</f>
        <v>17.439362661700272</v>
      </c>
      <c r="J154" s="2482">
        <f>+((J131+J132)*$C$30+J133*$C$31+J134*$C$32+J135*$C$33+(J136+J137)*$C$34+(J138+J139+J140)*$C$35+J141*$C$36+J142*$C$37+J143*$C$39)*'CO2 - Início'!$E$56/IF(J144=0,1,J144)</f>
        <v>17.439362661700272</v>
      </c>
      <c r="K154" s="2482">
        <f>+((K131+K132)*$C$30+K133*$C$31+K134*$C$32+K135*$C$33+(K136+K137)*$C$34+(K138+K139+K140)*$C$35+K141*$C$36+K142*$C$37+K143*$C$39)*'CO2 - Início'!$E$56/IF(K144=0,1,K144)</f>
        <v>17.439362661700272</v>
      </c>
      <c r="L154" s="2062" t="s">
        <v>1396</v>
      </c>
      <c r="N154" s="2630" t="s">
        <v>1435</v>
      </c>
      <c r="O154" s="2631"/>
      <c r="P154" s="2632"/>
      <c r="Q154" s="2637">
        <f>Q152+Q153</f>
        <v>913.47998124302012</v>
      </c>
      <c r="R154" s="2637">
        <f t="shared" ref="R154:X154" si="127">R152+R153</f>
        <v>879.24479332016756</v>
      </c>
      <c r="S154" s="2637">
        <f t="shared" si="127"/>
        <v>879.24479332016756</v>
      </c>
      <c r="T154" s="2637">
        <f t="shared" si="127"/>
        <v>879.24479332016756</v>
      </c>
      <c r="U154" s="2637">
        <f t="shared" si="127"/>
        <v>879.24479332016756</v>
      </c>
      <c r="V154" s="2637">
        <f t="shared" si="127"/>
        <v>879.24479332016756</v>
      </c>
      <c r="W154" s="2637">
        <f t="shared" si="127"/>
        <v>879.24479332016756</v>
      </c>
      <c r="X154" s="2637">
        <f t="shared" si="127"/>
        <v>879.24479332016756</v>
      </c>
      <c r="Y154" s="2471" t="s">
        <v>1322</v>
      </c>
      <c r="Z154" s="2063"/>
      <c r="AB154" s="1843"/>
      <c r="AC154" s="2570"/>
      <c r="AD154" s="1843"/>
      <c r="AE154" s="1843"/>
      <c r="AF154" s="1843"/>
      <c r="AG154" s="1843"/>
      <c r="AH154" s="1843"/>
      <c r="AI154" s="1843"/>
      <c r="AJ154" s="1843"/>
      <c r="AK154" s="1843"/>
    </row>
    <row r="155" spans="1:37" ht="18" customHeight="1" x14ac:dyDescent="0.2">
      <c r="A155" s="2062"/>
      <c r="B155" s="2062"/>
      <c r="C155" s="2062"/>
      <c r="D155" s="2062"/>
      <c r="E155" s="2062"/>
      <c r="F155" s="2062"/>
      <c r="G155" s="2062"/>
      <c r="H155" s="2062"/>
      <c r="I155" s="2062"/>
      <c r="J155" s="2062"/>
      <c r="K155" s="2062"/>
      <c r="L155" s="2062"/>
      <c r="N155" s="2391"/>
      <c r="O155" s="2391"/>
      <c r="P155" s="2391"/>
      <c r="Q155" s="2391"/>
      <c r="R155" s="2391"/>
      <c r="S155" s="2391"/>
      <c r="T155" s="2391"/>
      <c r="U155" s="2391"/>
      <c r="V155" s="2391"/>
      <c r="W155" s="2391"/>
      <c r="X155" s="2391"/>
      <c r="Y155" s="2391"/>
      <c r="Z155" s="2391"/>
      <c r="AB155" s="1843"/>
      <c r="AC155" s="2570"/>
      <c r="AD155" s="1843"/>
      <c r="AE155" s="1843"/>
      <c r="AF155" s="1843"/>
      <c r="AG155" s="1843"/>
      <c r="AH155" s="1843"/>
      <c r="AI155" s="1843"/>
      <c r="AJ155" s="1843"/>
      <c r="AK155" s="1843"/>
    </row>
    <row r="156" spans="1:37" ht="18" customHeight="1" x14ac:dyDescent="0.2">
      <c r="A156" s="2062"/>
      <c r="B156" s="2062"/>
      <c r="C156" s="2062"/>
      <c r="D156" s="2062"/>
      <c r="E156" s="2062"/>
      <c r="F156" s="2062"/>
      <c r="G156" s="2062"/>
      <c r="H156" s="2062"/>
      <c r="I156" s="2062"/>
      <c r="J156" s="2062"/>
      <c r="K156" s="2062"/>
      <c r="L156" s="2062"/>
      <c r="N156" s="2391"/>
      <c r="O156" s="2391"/>
      <c r="P156" s="2391"/>
      <c r="Q156" s="2391"/>
      <c r="R156" s="2391"/>
      <c r="S156" s="2391"/>
      <c r="T156" s="2391"/>
      <c r="U156" s="2391"/>
      <c r="V156" s="2391"/>
      <c r="W156" s="2391"/>
      <c r="X156" s="2391"/>
      <c r="Y156" s="2391"/>
      <c r="Z156" s="2391"/>
      <c r="AB156" s="1843"/>
      <c r="AC156" s="2570"/>
      <c r="AD156" s="1843"/>
      <c r="AE156" s="1843"/>
      <c r="AF156" s="1843"/>
      <c r="AG156" s="1843"/>
      <c r="AH156" s="1843"/>
      <c r="AI156" s="1843"/>
      <c r="AJ156" s="1843"/>
      <c r="AK156" s="1843"/>
    </row>
    <row r="157" spans="1:37" ht="18" customHeight="1" x14ac:dyDescent="0.2">
      <c r="A157" s="1987" t="s">
        <v>1489</v>
      </c>
      <c r="B157" s="2197"/>
      <c r="C157" s="2063"/>
      <c r="D157" s="2063"/>
      <c r="E157" s="2063"/>
      <c r="F157" s="2063"/>
      <c r="G157" s="2063"/>
      <c r="H157" s="2063"/>
      <c r="I157" s="2063"/>
      <c r="J157" s="2063"/>
      <c r="K157" s="2063"/>
      <c r="L157" s="2495"/>
      <c r="N157" s="1843"/>
      <c r="O157" s="1843"/>
      <c r="P157" s="1843"/>
      <c r="Q157" s="1843"/>
      <c r="R157" s="1843"/>
      <c r="S157" s="1843"/>
      <c r="T157" s="1843"/>
      <c r="U157" s="1843"/>
      <c r="V157" s="1843"/>
      <c r="W157" s="1843"/>
      <c r="X157" s="1843"/>
      <c r="Y157" s="1843"/>
      <c r="Z157" s="1843"/>
      <c r="AB157" s="1843"/>
      <c r="AC157" s="2570"/>
      <c r="AD157" s="1843"/>
      <c r="AE157" s="1843"/>
      <c r="AF157" s="1843"/>
      <c r="AG157" s="1843"/>
      <c r="AH157" s="1843"/>
      <c r="AI157" s="1843"/>
      <c r="AJ157" s="1843"/>
      <c r="AK157" s="1843"/>
    </row>
    <row r="158" spans="1:37" ht="18" customHeight="1" x14ac:dyDescent="0.2">
      <c r="A158" s="2063"/>
      <c r="B158" s="2063"/>
      <c r="C158" s="2063"/>
      <c r="D158" s="2063"/>
      <c r="E158" s="2063"/>
      <c r="F158" s="2063"/>
      <c r="G158" s="2063"/>
      <c r="H158" s="2063"/>
      <c r="I158" s="2063"/>
      <c r="J158" s="2063"/>
      <c r="K158" s="2063"/>
      <c r="L158" s="2495"/>
      <c r="N158" s="1843"/>
      <c r="O158" s="1843"/>
      <c r="P158" s="1843"/>
      <c r="Q158" s="1843"/>
      <c r="R158" s="1843"/>
      <c r="S158" s="1843"/>
      <c r="T158" s="1843"/>
      <c r="U158" s="1843"/>
      <c r="V158" s="1843"/>
      <c r="W158" s="1843"/>
      <c r="X158" s="1843"/>
      <c r="Y158" s="1843"/>
      <c r="Z158" s="1843"/>
      <c r="AB158" s="1843"/>
      <c r="AC158" s="2570"/>
      <c r="AD158" s="1843"/>
      <c r="AE158" s="1843"/>
      <c r="AF158" s="1843"/>
      <c r="AG158" s="1843"/>
      <c r="AH158" s="1843"/>
      <c r="AI158" s="1843"/>
      <c r="AJ158" s="1843"/>
      <c r="AK158" s="1843"/>
    </row>
    <row r="159" spans="1:37" ht="18" customHeight="1" x14ac:dyDescent="0.2">
      <c r="A159" s="2063"/>
      <c r="B159" s="2549" t="s">
        <v>1433</v>
      </c>
      <c r="C159" s="2472"/>
      <c r="D159" s="2077" t="str">
        <f t="shared" ref="D159:K159" si="128">+D130</f>
        <v>Cenário-Base</v>
      </c>
      <c r="E159" s="2077" t="str">
        <f t="shared" si="128"/>
        <v>Biodigestão RT1A + CDR TM</v>
      </c>
      <c r="F159" s="2077" t="str">
        <f t="shared" si="128"/>
        <v>Biodigestão RT1B + CDR TM</v>
      </c>
      <c r="G159" s="2077" t="str">
        <f t="shared" si="128"/>
        <v>Biodigestão RT1C + CDR TM</v>
      </c>
      <c r="H159" s="2077" t="str">
        <f t="shared" si="128"/>
        <v>Compostagem + CDR TM</v>
      </c>
      <c r="I159" s="2077" t="str">
        <f t="shared" si="128"/>
        <v xml:space="preserve">Biosecagem + CDR TMB </v>
      </c>
      <c r="J159" s="2077" t="str">
        <f t="shared" si="128"/>
        <v>Incineração Mass Burning</v>
      </c>
      <c r="K159" s="2077" t="str">
        <f t="shared" si="128"/>
        <v>Incineração Mass Burn. Descentralizada</v>
      </c>
      <c r="L159" s="2495"/>
      <c r="N159" s="1843"/>
      <c r="O159" s="1843"/>
      <c r="P159" s="1843"/>
      <c r="Q159" s="1843"/>
      <c r="R159" s="1843"/>
      <c r="S159" s="1843"/>
      <c r="T159" s="1843"/>
      <c r="U159" s="1843"/>
      <c r="V159" s="1843"/>
      <c r="W159" s="1843"/>
      <c r="X159" s="1843"/>
      <c r="Y159" s="1843"/>
      <c r="Z159" s="1843"/>
      <c r="AB159" s="1843"/>
      <c r="AC159" s="2570"/>
      <c r="AD159" s="1843"/>
      <c r="AE159" s="1843"/>
      <c r="AF159" s="1843"/>
      <c r="AG159" s="1843"/>
      <c r="AH159" s="1843"/>
      <c r="AI159" s="1843"/>
      <c r="AJ159" s="1843"/>
      <c r="AK159" s="1843"/>
    </row>
    <row r="160" spans="1:37" ht="18" customHeight="1" x14ac:dyDescent="0.2">
      <c r="A160" s="2063"/>
      <c r="B160" s="2549" t="s">
        <v>1107</v>
      </c>
      <c r="C160" s="2638"/>
      <c r="D160" s="2465">
        <f>D102-D131</f>
        <v>0.50020669698222409</v>
      </c>
      <c r="E160" s="2465">
        <f t="shared" ref="E160:K172" si="129">E102-E131</f>
        <v>0.5382999287086252</v>
      </c>
      <c r="F160" s="2465">
        <f t="shared" si="129"/>
        <v>0.5382999287086252</v>
      </c>
      <c r="G160" s="2465">
        <f t="shared" si="129"/>
        <v>0.5382999287086252</v>
      </c>
      <c r="H160" s="2465">
        <f t="shared" si="129"/>
        <v>0.5382999287086252</v>
      </c>
      <c r="I160" s="2465">
        <f t="shared" si="129"/>
        <v>0.5382999287086252</v>
      </c>
      <c r="J160" s="2465">
        <f t="shared" si="129"/>
        <v>0.5382999287086252</v>
      </c>
      <c r="K160" s="2465">
        <f t="shared" si="129"/>
        <v>0.5382999287086252</v>
      </c>
      <c r="L160" s="2607" t="s">
        <v>194</v>
      </c>
      <c r="N160" s="1843"/>
      <c r="O160" s="1843"/>
      <c r="P160" s="1843"/>
      <c r="Q160" s="1843"/>
      <c r="R160" s="1843"/>
      <c r="S160" s="1843"/>
      <c r="T160" s="1843"/>
      <c r="U160" s="1843"/>
      <c r="V160" s="1843"/>
      <c r="W160" s="1843"/>
      <c r="X160" s="1843"/>
      <c r="Y160" s="1843"/>
      <c r="Z160" s="1843"/>
      <c r="AB160" s="1843"/>
      <c r="AC160" s="2570"/>
      <c r="AD160" s="1843"/>
      <c r="AE160" s="1843"/>
      <c r="AF160" s="1843"/>
      <c r="AG160" s="1843"/>
      <c r="AH160" s="1843"/>
      <c r="AI160" s="1843"/>
      <c r="AJ160" s="1843"/>
      <c r="AK160" s="1843"/>
    </row>
    <row r="161" spans="1:37" ht="18" customHeight="1" x14ac:dyDescent="0.2">
      <c r="A161" s="2063"/>
      <c r="B161" s="2549" t="s">
        <v>1108</v>
      </c>
      <c r="C161" s="2638"/>
      <c r="D161" s="2465">
        <f>D103-D132</f>
        <v>3.1004547333608929E-2</v>
      </c>
      <c r="E161" s="2465">
        <f t="shared" si="129"/>
        <v>3.3365698060451976E-2</v>
      </c>
      <c r="F161" s="2465">
        <f t="shared" si="129"/>
        <v>3.3365698060451976E-2</v>
      </c>
      <c r="G161" s="2465">
        <f t="shared" si="129"/>
        <v>3.3365698060451976E-2</v>
      </c>
      <c r="H161" s="2465">
        <f t="shared" si="129"/>
        <v>3.3365698060451976E-2</v>
      </c>
      <c r="I161" s="2465">
        <f t="shared" si="129"/>
        <v>3.3365698060451976E-2</v>
      </c>
      <c r="J161" s="2465">
        <f t="shared" si="129"/>
        <v>3.3365698060451976E-2</v>
      </c>
      <c r="K161" s="2465">
        <f t="shared" si="129"/>
        <v>3.3365698060451976E-2</v>
      </c>
      <c r="L161" s="2607" t="s">
        <v>194</v>
      </c>
      <c r="N161" s="1843"/>
      <c r="O161" s="1843"/>
      <c r="P161" s="1843"/>
      <c r="Q161" s="1843"/>
      <c r="R161" s="1843"/>
      <c r="S161" s="1843"/>
      <c r="T161" s="1843"/>
      <c r="U161" s="1843"/>
      <c r="V161" s="1843"/>
      <c r="W161" s="1843"/>
      <c r="X161" s="1843"/>
      <c r="Y161" s="1843"/>
      <c r="Z161" s="1843"/>
      <c r="AB161" s="1843"/>
      <c r="AC161" s="2570"/>
      <c r="AD161" s="1843"/>
      <c r="AE161" s="1843"/>
      <c r="AF161" s="1843"/>
      <c r="AG161" s="1843"/>
      <c r="AH161" s="1843"/>
      <c r="AI161" s="1843"/>
      <c r="AJ161" s="1843"/>
      <c r="AK161" s="1843"/>
    </row>
    <row r="162" spans="1:37" ht="18" customHeight="1" x14ac:dyDescent="0.2">
      <c r="A162" s="2063"/>
      <c r="B162" s="2549" t="s">
        <v>1109</v>
      </c>
      <c r="C162" s="2638"/>
      <c r="D162" s="2465">
        <f>D104-D133</f>
        <v>3.6554361306324931E-2</v>
      </c>
      <c r="E162" s="2465">
        <f t="shared" si="129"/>
        <v>2.915394599428113E-2</v>
      </c>
      <c r="F162" s="2465">
        <f t="shared" si="129"/>
        <v>2.915394599428113E-2</v>
      </c>
      <c r="G162" s="2465">
        <f t="shared" si="129"/>
        <v>2.915394599428113E-2</v>
      </c>
      <c r="H162" s="2465">
        <f t="shared" si="129"/>
        <v>2.915394599428113E-2</v>
      </c>
      <c r="I162" s="2465">
        <f t="shared" si="129"/>
        <v>2.915394599428113E-2</v>
      </c>
      <c r="J162" s="2465">
        <f t="shared" si="129"/>
        <v>2.915394599428113E-2</v>
      </c>
      <c r="K162" s="2465">
        <f t="shared" si="129"/>
        <v>2.915394599428113E-2</v>
      </c>
      <c r="L162" s="2607" t="s">
        <v>194</v>
      </c>
      <c r="N162" s="1843"/>
      <c r="O162" s="1843"/>
      <c r="P162" s="1843"/>
      <c r="Q162" s="1843"/>
      <c r="R162" s="1843"/>
      <c r="S162" s="1843"/>
      <c r="T162" s="1843"/>
      <c r="U162" s="1843"/>
      <c r="V162" s="1843"/>
      <c r="W162" s="1843"/>
      <c r="X162" s="1843"/>
      <c r="Y162" s="1843"/>
      <c r="Z162" s="1843"/>
      <c r="AB162" s="1843"/>
      <c r="AC162" s="2570"/>
      <c r="AD162" s="1843"/>
      <c r="AE162" s="1843"/>
      <c r="AF162" s="1843"/>
      <c r="AG162" s="1843"/>
      <c r="AH162" s="1843"/>
      <c r="AI162" s="1843"/>
      <c r="AJ162" s="1843"/>
      <c r="AK162" s="1843"/>
    </row>
    <row r="163" spans="1:37" ht="18" customHeight="1" x14ac:dyDescent="0.2">
      <c r="A163" s="2063"/>
      <c r="B163" s="2549" t="s">
        <v>1110</v>
      </c>
      <c r="C163" s="2638"/>
      <c r="D163" s="2465">
        <f>D105-D134</f>
        <v>3.7670525010334854E-2</v>
      </c>
      <c r="E163" s="2465">
        <f t="shared" si="129"/>
        <v>3.5134080057655934E-2</v>
      </c>
      <c r="F163" s="2465">
        <f t="shared" si="129"/>
        <v>3.5134080057655934E-2</v>
      </c>
      <c r="G163" s="2465">
        <f t="shared" si="129"/>
        <v>3.5134080057655934E-2</v>
      </c>
      <c r="H163" s="2465">
        <f t="shared" si="129"/>
        <v>3.5134080057655934E-2</v>
      </c>
      <c r="I163" s="2465">
        <f t="shared" si="129"/>
        <v>3.5134080057655934E-2</v>
      </c>
      <c r="J163" s="2465">
        <f t="shared" si="129"/>
        <v>3.5134080057655934E-2</v>
      </c>
      <c r="K163" s="2465">
        <f t="shared" si="129"/>
        <v>3.5134080057655934E-2</v>
      </c>
      <c r="L163" s="2607" t="s">
        <v>194</v>
      </c>
      <c r="N163" s="1843"/>
      <c r="O163" s="1843"/>
      <c r="P163" s="1843"/>
      <c r="Q163" s="1843"/>
      <c r="R163" s="1843"/>
      <c r="S163" s="1843"/>
      <c r="T163" s="1843"/>
      <c r="U163" s="1843"/>
      <c r="V163" s="1843"/>
      <c r="W163" s="1843"/>
      <c r="X163" s="1843"/>
      <c r="Y163" s="1843"/>
      <c r="Z163" s="1843"/>
      <c r="AB163" s="1843"/>
      <c r="AC163" s="2570"/>
      <c r="AD163" s="1843"/>
      <c r="AE163" s="1843"/>
      <c r="AF163" s="1843"/>
      <c r="AG163" s="1843"/>
      <c r="AH163" s="1843"/>
      <c r="AI163" s="1843"/>
      <c r="AJ163" s="1843"/>
      <c r="AK163" s="1843"/>
    </row>
    <row r="164" spans="1:37" ht="18" customHeight="1" x14ac:dyDescent="0.2">
      <c r="A164" s="2063"/>
      <c r="B164" s="2549" t="s">
        <v>50</v>
      </c>
      <c r="C164" s="2638"/>
      <c r="D164" s="2465">
        <f t="shared" ref="D164:I172" si="130">D106-D135</f>
        <v>2.4803637866887142E-2</v>
      </c>
      <c r="E164" s="2465">
        <f t="shared" si="130"/>
        <v>2.6692558448361579E-2</v>
      </c>
      <c r="F164" s="2465">
        <f t="shared" si="129"/>
        <v>2.6692558448361579E-2</v>
      </c>
      <c r="G164" s="2465">
        <f t="shared" si="129"/>
        <v>2.6692558448361579E-2</v>
      </c>
      <c r="H164" s="2465">
        <f t="shared" si="130"/>
        <v>2.6692558448361579E-2</v>
      </c>
      <c r="I164" s="2465">
        <f t="shared" si="130"/>
        <v>2.6692558448361579E-2</v>
      </c>
      <c r="J164" s="2465">
        <f t="shared" si="129"/>
        <v>2.6692558448361579E-2</v>
      </c>
      <c r="K164" s="2465">
        <f t="shared" si="129"/>
        <v>2.6692558448361579E-2</v>
      </c>
      <c r="L164" s="2607" t="s">
        <v>194</v>
      </c>
      <c r="N164" s="1843"/>
      <c r="O164" s="1843"/>
      <c r="P164" s="1843"/>
      <c r="Q164" s="1843"/>
      <c r="R164" s="1843"/>
      <c r="S164" s="1843"/>
      <c r="T164" s="1843"/>
      <c r="U164" s="1843"/>
      <c r="V164" s="1843"/>
      <c r="W164" s="1843"/>
      <c r="X164" s="1843"/>
      <c r="Y164" s="1843"/>
      <c r="Z164" s="1843"/>
      <c r="AB164" s="1843"/>
      <c r="AC164" s="2570"/>
      <c r="AD164" s="1843"/>
      <c r="AE164" s="1843"/>
      <c r="AF164" s="1843"/>
      <c r="AG164" s="1843"/>
      <c r="AH164" s="1843"/>
      <c r="AI164" s="1843"/>
      <c r="AJ164" s="1843"/>
      <c r="AK164" s="1843"/>
    </row>
    <row r="165" spans="1:37" ht="18" customHeight="1" x14ac:dyDescent="0.2">
      <c r="A165" s="2063"/>
      <c r="B165" s="2549" t="s">
        <v>1490</v>
      </c>
      <c r="C165" s="2638"/>
      <c r="D165" s="2465">
        <f t="shared" si="130"/>
        <v>1.9016122364613478E-2</v>
      </c>
      <c r="E165" s="2465">
        <f t="shared" si="130"/>
        <v>1.2790184256506597E-3</v>
      </c>
      <c r="F165" s="2465">
        <f t="shared" si="129"/>
        <v>1.2790184256506597E-3</v>
      </c>
      <c r="G165" s="2465">
        <f t="shared" si="129"/>
        <v>1.2790184256506597E-3</v>
      </c>
      <c r="H165" s="2465">
        <f t="shared" si="130"/>
        <v>1.2790184256506597E-3</v>
      </c>
      <c r="I165" s="2465">
        <f t="shared" si="130"/>
        <v>1.2790184256506597E-3</v>
      </c>
      <c r="J165" s="2465">
        <f t="shared" si="129"/>
        <v>1.2790184256506597E-3</v>
      </c>
      <c r="K165" s="2465">
        <f t="shared" si="129"/>
        <v>1.2790184256506597E-3</v>
      </c>
      <c r="L165" s="2607" t="s">
        <v>194</v>
      </c>
      <c r="N165" s="1843"/>
      <c r="O165" s="1843"/>
      <c r="P165" s="1843"/>
      <c r="Q165" s="1843"/>
      <c r="R165" s="1843"/>
      <c r="S165" s="1843"/>
      <c r="T165" s="1843"/>
      <c r="U165" s="1843"/>
      <c r="V165" s="1843"/>
      <c r="W165" s="1843"/>
      <c r="X165" s="1843"/>
      <c r="Y165" s="1843"/>
      <c r="Z165" s="1843"/>
      <c r="AB165" s="1843"/>
      <c r="AC165" s="2570"/>
      <c r="AD165" s="1843"/>
      <c r="AE165" s="1843"/>
      <c r="AF165" s="1843"/>
      <c r="AG165" s="1843"/>
      <c r="AH165" s="1843"/>
      <c r="AI165" s="1843"/>
      <c r="AJ165" s="1843"/>
      <c r="AK165" s="1843"/>
    </row>
    <row r="166" spans="1:37" ht="18" customHeight="1" x14ac:dyDescent="0.2">
      <c r="A166" s="2063"/>
      <c r="B166" s="2549" t="s">
        <v>1112</v>
      </c>
      <c r="C166" s="2638"/>
      <c r="D166" s="2465">
        <f t="shared" si="130"/>
        <v>4.9607275733774278E-3</v>
      </c>
      <c r="E166" s="2465">
        <f t="shared" si="130"/>
        <v>3.3365698060452026E-4</v>
      </c>
      <c r="F166" s="2465">
        <f t="shared" si="129"/>
        <v>3.3365698060452026E-4</v>
      </c>
      <c r="G166" s="2465">
        <f t="shared" si="129"/>
        <v>3.3365698060452026E-4</v>
      </c>
      <c r="H166" s="2465">
        <f t="shared" si="130"/>
        <v>3.3365698060452026E-4</v>
      </c>
      <c r="I166" s="2465">
        <f t="shared" si="130"/>
        <v>3.3365698060452026E-4</v>
      </c>
      <c r="J166" s="2465">
        <f t="shared" si="129"/>
        <v>3.3365698060452026E-4</v>
      </c>
      <c r="K166" s="2465">
        <f t="shared" si="129"/>
        <v>3.3365698060452026E-4</v>
      </c>
      <c r="L166" s="2607" t="s">
        <v>194</v>
      </c>
      <c r="N166" s="1843"/>
      <c r="O166" s="1843"/>
      <c r="P166" s="1843"/>
      <c r="Q166" s="1843"/>
      <c r="R166" s="1843"/>
      <c r="S166" s="1843"/>
      <c r="T166" s="1843"/>
      <c r="U166" s="1843"/>
      <c r="V166" s="1843"/>
      <c r="W166" s="1843"/>
      <c r="X166" s="1843"/>
      <c r="Y166" s="1843"/>
      <c r="Z166" s="1843"/>
      <c r="AB166" s="1843"/>
      <c r="AC166" s="2570"/>
      <c r="AD166" s="1843"/>
      <c r="AE166" s="1843"/>
      <c r="AF166" s="1843"/>
      <c r="AG166" s="1843"/>
      <c r="AH166" s="1843"/>
      <c r="AI166" s="1843"/>
      <c r="AJ166" s="1843"/>
      <c r="AK166" s="1843"/>
    </row>
    <row r="167" spans="1:37" ht="18" customHeight="1" x14ac:dyDescent="0.2">
      <c r="A167" s="2063"/>
      <c r="B167" s="2549" t="s">
        <v>1113</v>
      </c>
      <c r="C167" s="2638"/>
      <c r="D167" s="2465">
        <f t="shared" si="130"/>
        <v>4.599007854485325E-3</v>
      </c>
      <c r="E167" s="2465">
        <f t="shared" si="130"/>
        <v>4.9492452123003766E-3</v>
      </c>
      <c r="F167" s="2465">
        <f t="shared" si="129"/>
        <v>4.9492452123003766E-3</v>
      </c>
      <c r="G167" s="2465">
        <f t="shared" si="129"/>
        <v>4.9492452123003766E-3</v>
      </c>
      <c r="H167" s="2465">
        <f t="shared" si="130"/>
        <v>4.9492452123003766E-3</v>
      </c>
      <c r="I167" s="2465">
        <f t="shared" si="130"/>
        <v>4.9492452123003766E-3</v>
      </c>
      <c r="J167" s="2465">
        <f t="shared" si="129"/>
        <v>4.9492452123003766E-3</v>
      </c>
      <c r="K167" s="2465">
        <f t="shared" si="129"/>
        <v>4.9492452123003766E-3</v>
      </c>
      <c r="L167" s="2607" t="s">
        <v>194</v>
      </c>
      <c r="N167" s="1843"/>
      <c r="O167" s="1843"/>
      <c r="P167" s="1843"/>
      <c r="Q167" s="1843"/>
      <c r="R167" s="1843"/>
      <c r="S167" s="1843"/>
      <c r="T167" s="1843"/>
      <c r="U167" s="1843"/>
      <c r="V167" s="1843"/>
      <c r="W167" s="1843"/>
      <c r="X167" s="1843"/>
      <c r="Y167" s="1843"/>
      <c r="Z167" s="1843"/>
      <c r="AB167" s="1843"/>
      <c r="AC167" s="2570"/>
      <c r="AD167" s="1843"/>
      <c r="AE167" s="1843"/>
      <c r="AF167" s="1843"/>
      <c r="AG167" s="1843"/>
      <c r="AH167" s="1843"/>
      <c r="AI167" s="1843"/>
      <c r="AJ167" s="1843"/>
      <c r="AK167" s="1843"/>
    </row>
    <row r="168" spans="1:37" ht="18" customHeight="1" x14ac:dyDescent="0.2">
      <c r="A168" s="2063"/>
      <c r="B168" s="2549" t="s">
        <v>1374</v>
      </c>
      <c r="C168" s="2638"/>
      <c r="D168" s="2465">
        <f t="shared" si="130"/>
        <v>1.9842910293509704E-3</v>
      </c>
      <c r="E168" s="2465">
        <f t="shared" si="130"/>
        <v>2.1354046758689255E-3</v>
      </c>
      <c r="F168" s="2465">
        <f t="shared" si="129"/>
        <v>2.1354046758689255E-3</v>
      </c>
      <c r="G168" s="2465">
        <f t="shared" si="129"/>
        <v>2.1354046758689255E-3</v>
      </c>
      <c r="H168" s="2465">
        <f t="shared" si="130"/>
        <v>2.1354046758689255E-3</v>
      </c>
      <c r="I168" s="2465">
        <f t="shared" si="130"/>
        <v>2.1354046758689255E-3</v>
      </c>
      <c r="J168" s="2465">
        <f t="shared" si="129"/>
        <v>2.1354046758689255E-3</v>
      </c>
      <c r="K168" s="2465">
        <f t="shared" si="129"/>
        <v>2.1354046758689255E-3</v>
      </c>
      <c r="L168" s="2607" t="s">
        <v>194</v>
      </c>
      <c r="N168" s="1843"/>
      <c r="O168" s="1843"/>
      <c r="P168" s="1843"/>
      <c r="Q168" s="1843"/>
      <c r="R168" s="1843"/>
      <c r="S168" s="1843"/>
      <c r="T168" s="1843"/>
      <c r="U168" s="1843"/>
      <c r="V168" s="1843"/>
      <c r="W168" s="1843"/>
      <c r="X168" s="1843"/>
      <c r="Y168" s="1843"/>
      <c r="Z168" s="1843"/>
      <c r="AB168" s="1843"/>
      <c r="AC168" s="2570"/>
      <c r="AD168" s="1843"/>
      <c r="AE168" s="1843"/>
      <c r="AF168" s="1843"/>
      <c r="AG168" s="1843"/>
      <c r="AH168" s="1843"/>
      <c r="AI168" s="1843"/>
      <c r="AJ168" s="1843"/>
      <c r="AK168" s="1843"/>
    </row>
    <row r="169" spans="1:37" ht="18" customHeight="1" x14ac:dyDescent="0.2">
      <c r="A169" s="2063"/>
      <c r="B169" s="2549" t="s">
        <v>1320</v>
      </c>
      <c r="C169" s="2638"/>
      <c r="D169" s="2465">
        <f t="shared" si="130"/>
        <v>0</v>
      </c>
      <c r="E169" s="2465">
        <f t="shared" si="130"/>
        <v>0</v>
      </c>
      <c r="F169" s="2465">
        <f t="shared" si="129"/>
        <v>0</v>
      </c>
      <c r="G169" s="2465">
        <f t="shared" si="129"/>
        <v>0</v>
      </c>
      <c r="H169" s="2465">
        <f t="shared" si="130"/>
        <v>0</v>
      </c>
      <c r="I169" s="2465">
        <f t="shared" si="130"/>
        <v>0</v>
      </c>
      <c r="J169" s="2465">
        <f t="shared" si="129"/>
        <v>0</v>
      </c>
      <c r="K169" s="2465">
        <f t="shared" si="129"/>
        <v>0</v>
      </c>
      <c r="L169" s="2607" t="s">
        <v>194</v>
      </c>
      <c r="N169" s="1843"/>
      <c r="O169" s="1843"/>
      <c r="P169" s="1843"/>
      <c r="Q169" s="1843"/>
      <c r="R169" s="1843"/>
      <c r="S169" s="1843"/>
      <c r="T169" s="1843"/>
      <c r="U169" s="1843"/>
      <c r="V169" s="1843"/>
      <c r="W169" s="1843"/>
      <c r="X169" s="1843"/>
      <c r="Y169" s="1843"/>
      <c r="Z169" s="1843"/>
      <c r="AB169" s="1843"/>
      <c r="AC169" s="2570"/>
      <c r="AD169" s="1843"/>
      <c r="AE169" s="1843"/>
      <c r="AF169" s="1843"/>
      <c r="AG169" s="1843"/>
      <c r="AH169" s="1843"/>
      <c r="AI169" s="1843"/>
      <c r="AJ169" s="1843"/>
      <c r="AK169" s="1843"/>
    </row>
    <row r="170" spans="1:37" ht="18" customHeight="1" x14ac:dyDescent="0.2">
      <c r="A170" s="2063"/>
      <c r="B170" s="2549" t="s">
        <v>1116</v>
      </c>
      <c r="C170" s="2638"/>
      <c r="D170" s="2465">
        <f t="shared" si="130"/>
        <v>7.5444398511781679E-4</v>
      </c>
      <c r="E170" s="2465">
        <f t="shared" si="130"/>
        <v>8.1189865280433156E-4</v>
      </c>
      <c r="F170" s="2465">
        <f t="shared" si="129"/>
        <v>8.1189865280433156E-4</v>
      </c>
      <c r="G170" s="2465">
        <f t="shared" si="129"/>
        <v>8.1189865280433156E-4</v>
      </c>
      <c r="H170" s="2465">
        <f t="shared" si="130"/>
        <v>8.1189865280433156E-4</v>
      </c>
      <c r="I170" s="2465">
        <f t="shared" si="130"/>
        <v>8.1189865280433156E-4</v>
      </c>
      <c r="J170" s="2465">
        <f t="shared" si="129"/>
        <v>8.1189865280433156E-4</v>
      </c>
      <c r="K170" s="2465">
        <f t="shared" si="129"/>
        <v>8.1189865280433156E-4</v>
      </c>
      <c r="L170" s="2607" t="s">
        <v>194</v>
      </c>
      <c r="N170" s="1843"/>
      <c r="O170" s="1843"/>
      <c r="P170" s="1843"/>
      <c r="Q170" s="1843"/>
      <c r="R170" s="1843"/>
      <c r="S170" s="1843"/>
      <c r="T170" s="1843"/>
      <c r="U170" s="1843"/>
      <c r="V170" s="1843"/>
      <c r="W170" s="1843"/>
      <c r="X170" s="1843"/>
      <c r="Y170" s="1843"/>
      <c r="Z170" s="1843"/>
      <c r="AB170" s="1843"/>
      <c r="AC170" s="2570"/>
      <c r="AD170" s="1843"/>
      <c r="AE170" s="1843"/>
      <c r="AF170" s="1843"/>
      <c r="AG170" s="1843"/>
      <c r="AH170" s="1843"/>
      <c r="AI170" s="1843"/>
      <c r="AJ170" s="1843"/>
      <c r="AK170" s="1843"/>
    </row>
    <row r="171" spans="1:37" ht="18" customHeight="1" x14ac:dyDescent="0.2">
      <c r="A171" s="2063"/>
      <c r="B171" s="2549" t="s">
        <v>1117</v>
      </c>
      <c r="C171" s="2638"/>
      <c r="D171" s="2465">
        <f t="shared" si="130"/>
        <v>0</v>
      </c>
      <c r="E171" s="2465">
        <f t="shared" si="130"/>
        <v>0</v>
      </c>
      <c r="F171" s="2465">
        <f t="shared" si="129"/>
        <v>0</v>
      </c>
      <c r="G171" s="2465">
        <f t="shared" si="129"/>
        <v>0</v>
      </c>
      <c r="H171" s="2465">
        <f t="shared" si="130"/>
        <v>0</v>
      </c>
      <c r="I171" s="2465">
        <f t="shared" si="130"/>
        <v>0</v>
      </c>
      <c r="J171" s="2465">
        <f t="shared" si="129"/>
        <v>0</v>
      </c>
      <c r="K171" s="2465">
        <f t="shared" si="129"/>
        <v>0</v>
      </c>
      <c r="L171" s="2607" t="s">
        <v>194</v>
      </c>
      <c r="N171" s="1843"/>
      <c r="O171" s="1843"/>
      <c r="P171" s="1843"/>
      <c r="Q171" s="1843"/>
      <c r="R171" s="1843"/>
      <c r="S171" s="1843"/>
      <c r="T171" s="1843"/>
      <c r="U171" s="1843"/>
      <c r="V171" s="1843"/>
      <c r="W171" s="1843"/>
      <c r="X171" s="1843"/>
      <c r="Y171" s="1843"/>
      <c r="Z171" s="1843"/>
      <c r="AB171" s="1843"/>
      <c r="AC171" s="2570"/>
      <c r="AD171" s="1843"/>
      <c r="AE171" s="1843"/>
      <c r="AF171" s="1843"/>
      <c r="AG171" s="1843"/>
      <c r="AH171" s="1843"/>
      <c r="AI171" s="1843"/>
      <c r="AJ171" s="1843"/>
      <c r="AK171" s="1843"/>
    </row>
    <row r="172" spans="1:37" ht="18" customHeight="1" x14ac:dyDescent="0.2">
      <c r="A172" s="2063"/>
      <c r="B172" s="2549" t="s">
        <v>1118</v>
      </c>
      <c r="C172" s="2638"/>
      <c r="D172" s="2465">
        <f t="shared" si="130"/>
        <v>3.389830508474577E-2</v>
      </c>
      <c r="E172" s="2465">
        <f t="shared" si="130"/>
        <v>3.6479829879427501E-2</v>
      </c>
      <c r="F172" s="2465">
        <f t="shared" si="129"/>
        <v>3.6479829879427501E-2</v>
      </c>
      <c r="G172" s="2465">
        <f t="shared" si="129"/>
        <v>3.6479829879427501E-2</v>
      </c>
      <c r="H172" s="2465">
        <f t="shared" si="130"/>
        <v>3.6479829879427501E-2</v>
      </c>
      <c r="I172" s="2465">
        <f t="shared" si="130"/>
        <v>3.6479829879427501E-2</v>
      </c>
      <c r="J172" s="2465">
        <f t="shared" si="129"/>
        <v>3.6479829879427501E-2</v>
      </c>
      <c r="K172" s="2465">
        <f t="shared" si="129"/>
        <v>3.6479829879427501E-2</v>
      </c>
      <c r="L172" s="2607" t="s">
        <v>194</v>
      </c>
      <c r="N172" s="1843"/>
      <c r="O172" s="1843"/>
      <c r="P172" s="1843"/>
      <c r="Q172" s="1843"/>
      <c r="R172" s="1843"/>
      <c r="S172" s="1843"/>
      <c r="T172" s="1843"/>
      <c r="U172" s="1843"/>
      <c r="V172" s="1843"/>
      <c r="W172" s="1843"/>
      <c r="X172" s="1843"/>
      <c r="Y172" s="1843"/>
      <c r="Z172" s="1843"/>
      <c r="AB172" s="1843"/>
      <c r="AC172" s="2570"/>
      <c r="AD172" s="1843"/>
      <c r="AE172" s="1843"/>
      <c r="AF172" s="1843"/>
      <c r="AG172" s="1843"/>
      <c r="AH172" s="1843"/>
      <c r="AI172" s="1843"/>
      <c r="AJ172" s="1843"/>
      <c r="AK172" s="1843"/>
    </row>
    <row r="173" spans="1:37" ht="18" customHeight="1" x14ac:dyDescent="0.2">
      <c r="A173" s="2437"/>
      <c r="B173" s="2529" t="s">
        <v>52</v>
      </c>
      <c r="C173" s="2504"/>
      <c r="D173" s="2594">
        <f t="shared" ref="D173:J173" si="131">SUM(D160:D172)</f>
        <v>0.69545266639107062</v>
      </c>
      <c r="E173" s="2594">
        <f t="shared" si="131"/>
        <v>0.70863526509603214</v>
      </c>
      <c r="F173" s="2594">
        <f t="shared" ref="F173" si="132">SUM(F160:F172)</f>
        <v>0.70863526509603214</v>
      </c>
      <c r="G173" s="2594">
        <f t="shared" si="131"/>
        <v>0.70863526509603214</v>
      </c>
      <c r="H173" s="2594">
        <f t="shared" si="131"/>
        <v>0.70863526509603214</v>
      </c>
      <c r="I173" s="2594">
        <f t="shared" si="131"/>
        <v>0.70863526509603214</v>
      </c>
      <c r="J173" s="2594">
        <f t="shared" si="131"/>
        <v>0.70863526509603214</v>
      </c>
      <c r="K173" s="2594">
        <f t="shared" ref="K173" si="133">SUM(K160:K172)</f>
        <v>0.70863526509603214</v>
      </c>
      <c r="L173" s="2607" t="s">
        <v>194</v>
      </c>
      <c r="N173" s="1843"/>
      <c r="O173" s="1843"/>
      <c r="P173" s="1843"/>
      <c r="Q173" s="1843"/>
      <c r="R173" s="1843"/>
      <c r="S173" s="1843"/>
      <c r="T173" s="1843"/>
      <c r="U173" s="1843"/>
      <c r="V173" s="1843"/>
      <c r="W173" s="1843"/>
      <c r="X173" s="1843"/>
      <c r="Y173" s="1843"/>
      <c r="Z173" s="1843"/>
      <c r="AB173" s="1843"/>
      <c r="AC173" s="2570"/>
      <c r="AD173" s="1843"/>
      <c r="AE173" s="1843"/>
      <c r="AF173" s="1843"/>
      <c r="AG173" s="1843"/>
      <c r="AH173" s="1843"/>
      <c r="AI173" s="1843"/>
      <c r="AJ173" s="1843"/>
      <c r="AK173" s="1843"/>
    </row>
    <row r="174" spans="1:37" ht="18" customHeight="1" x14ac:dyDescent="0.2">
      <c r="A174" s="2062"/>
      <c r="B174" s="2062"/>
      <c r="C174" s="2062"/>
      <c r="D174" s="2639"/>
      <c r="E174" s="2639"/>
      <c r="F174" s="2639"/>
      <c r="G174" s="2639"/>
      <c r="H174" s="2639"/>
      <c r="I174" s="2639"/>
      <c r="J174" s="2639"/>
      <c r="K174" s="2639"/>
      <c r="L174" s="2062"/>
      <c r="N174" s="1843"/>
      <c r="O174" s="1843"/>
      <c r="P174" s="1843"/>
      <c r="Q174" s="1843"/>
      <c r="R174" s="1843"/>
      <c r="S174" s="1843"/>
      <c r="T174" s="1843"/>
      <c r="U174" s="1843"/>
      <c r="V174" s="1843"/>
      <c r="W174" s="1843"/>
      <c r="X174" s="1843"/>
      <c r="Y174" s="1843"/>
      <c r="Z174" s="1843"/>
      <c r="AB174" s="1843"/>
      <c r="AC174" s="2570"/>
      <c r="AD174" s="1843"/>
      <c r="AE174" s="1843"/>
      <c r="AF174" s="1843"/>
      <c r="AG174" s="1843"/>
      <c r="AH174" s="1843"/>
      <c r="AI174" s="1843"/>
      <c r="AJ174" s="1843"/>
      <c r="AK174" s="1843"/>
    </row>
    <row r="175" spans="1:37" ht="18" customHeight="1" x14ac:dyDescent="0.2">
      <c r="A175" s="1987" t="s">
        <v>1491</v>
      </c>
      <c r="B175" s="1988"/>
      <c r="C175" s="2197"/>
      <c r="D175" s="2063"/>
      <c r="E175" s="2063"/>
      <c r="F175" s="2063"/>
      <c r="G175" s="2063"/>
      <c r="H175" s="2063"/>
      <c r="I175" s="2063"/>
      <c r="J175" s="2063"/>
      <c r="K175" s="2063"/>
      <c r="L175" s="2063"/>
      <c r="N175" s="1843"/>
      <c r="O175" s="1843"/>
      <c r="P175" s="1843"/>
      <c r="Q175" s="1843"/>
      <c r="R175" s="1843"/>
      <c r="S175" s="1843"/>
      <c r="T175" s="1843"/>
      <c r="U175" s="1843"/>
      <c r="V175" s="1843"/>
      <c r="W175" s="1843"/>
      <c r="X175" s="1843"/>
      <c r="Y175" s="1843"/>
      <c r="Z175" s="1843"/>
      <c r="AB175" s="1843"/>
      <c r="AC175" s="2570"/>
      <c r="AD175" s="1843"/>
      <c r="AE175" s="1843"/>
      <c r="AF175" s="1843"/>
      <c r="AG175" s="1843"/>
      <c r="AH175" s="1843"/>
      <c r="AI175" s="1843"/>
      <c r="AJ175" s="1843"/>
      <c r="AK175" s="1843"/>
    </row>
    <row r="176" spans="1:37" ht="18" customHeight="1" x14ac:dyDescent="0.2">
      <c r="A176" s="2063"/>
      <c r="B176" s="2529" t="s">
        <v>1474</v>
      </c>
      <c r="C176" s="2197"/>
      <c r="D176" s="2077" t="str">
        <f t="shared" ref="D176:K176" si="134">+D130</f>
        <v>Cenário-Base</v>
      </c>
      <c r="E176" s="2077" t="str">
        <f t="shared" si="134"/>
        <v>Biodigestão RT1A + CDR TM</v>
      </c>
      <c r="F176" s="2077" t="str">
        <f t="shared" si="134"/>
        <v>Biodigestão RT1B + CDR TM</v>
      </c>
      <c r="G176" s="2077" t="str">
        <f t="shared" si="134"/>
        <v>Biodigestão RT1C + CDR TM</v>
      </c>
      <c r="H176" s="2077" t="str">
        <f t="shared" si="134"/>
        <v>Compostagem + CDR TM</v>
      </c>
      <c r="I176" s="2077" t="str">
        <f t="shared" si="134"/>
        <v xml:space="preserve">Biosecagem + CDR TMB </v>
      </c>
      <c r="J176" s="2077" t="str">
        <f t="shared" si="134"/>
        <v>Incineração Mass Burning</v>
      </c>
      <c r="K176" s="2077" t="str">
        <f t="shared" si="134"/>
        <v>Incineração Mass Burn. Descentralizada</v>
      </c>
      <c r="L176" s="2063"/>
      <c r="N176" s="1843"/>
      <c r="O176" s="1843"/>
      <c r="P176" s="1843"/>
      <c r="Q176" s="1843"/>
      <c r="R176" s="1843"/>
      <c r="S176" s="1843"/>
      <c r="T176" s="1843"/>
      <c r="U176" s="1843"/>
      <c r="V176" s="1843"/>
      <c r="W176" s="1843"/>
      <c r="X176" s="1843"/>
      <c r="Y176" s="1843"/>
      <c r="Z176" s="1843"/>
      <c r="AB176" s="1843"/>
      <c r="AC176" s="2570"/>
      <c r="AD176" s="1843"/>
      <c r="AE176" s="1843"/>
      <c r="AF176" s="1843"/>
      <c r="AG176" s="1843"/>
      <c r="AH176" s="1843"/>
      <c r="AI176" s="1843"/>
      <c r="AJ176" s="1843"/>
      <c r="AK176" s="1843"/>
    </row>
    <row r="177" spans="1:37" ht="18" customHeight="1" x14ac:dyDescent="0.2">
      <c r="A177" s="2063"/>
      <c r="B177" s="2549" t="s">
        <v>1447</v>
      </c>
      <c r="C177" s="2472"/>
      <c r="D177" s="2474">
        <f t="shared" ref="D177:K177" si="135">+D160*$C$11+D161*$C$12+D162*$C$13+D163*$C$14+D164*$C$15+D165*$C$16+D166*$C$17+D167*$C$18+D168*$C$19+D169*$C$20+D170*$C$21+D171*$C$22+D172*$C$23</f>
        <v>0.12968736047953702</v>
      </c>
      <c r="E177" s="2474">
        <f t="shared" si="135"/>
        <v>0.13129350292005468</v>
      </c>
      <c r="F177" s="2474">
        <f t="shared" si="135"/>
        <v>0.13129350292005468</v>
      </c>
      <c r="G177" s="2474">
        <f t="shared" si="135"/>
        <v>0.13129350292005468</v>
      </c>
      <c r="H177" s="2474">
        <f t="shared" si="135"/>
        <v>0.13129350292005468</v>
      </c>
      <c r="I177" s="2474">
        <f t="shared" si="135"/>
        <v>0.13129350292005468</v>
      </c>
      <c r="J177" s="2474">
        <f t="shared" si="135"/>
        <v>0.13129350292005468</v>
      </c>
      <c r="K177" s="2474">
        <f t="shared" si="135"/>
        <v>0.13129350292005468</v>
      </c>
      <c r="L177" s="2062" t="s">
        <v>1304</v>
      </c>
      <c r="N177" s="1843"/>
      <c r="O177" s="1843"/>
      <c r="P177" s="1843"/>
      <c r="Q177" s="1843"/>
      <c r="R177" s="1843"/>
      <c r="S177" s="1843"/>
      <c r="T177" s="1843"/>
      <c r="U177" s="1843"/>
      <c r="V177" s="1843"/>
      <c r="W177" s="1843"/>
      <c r="X177" s="1843"/>
      <c r="Y177" s="1843"/>
      <c r="Z177" s="1843"/>
      <c r="AB177" s="1843"/>
      <c r="AC177" s="2570"/>
      <c r="AD177" s="1843"/>
      <c r="AE177" s="1843"/>
      <c r="AF177" s="1843"/>
      <c r="AG177" s="1843"/>
      <c r="AH177" s="1843"/>
      <c r="AI177" s="1843"/>
      <c r="AJ177" s="1843"/>
      <c r="AK177" s="1843"/>
    </row>
    <row r="178" spans="1:37" ht="18" customHeight="1" x14ac:dyDescent="0.2">
      <c r="A178" s="2063"/>
      <c r="B178" s="2549" t="s">
        <v>1448</v>
      </c>
      <c r="C178" s="2472"/>
      <c r="D178" s="2599">
        <f t="shared" ref="D178:K178" si="136">+D160*$C$11*$D$11+D161*$C$12*$D$12+D162*$C$13*$D$13+D163*$C$14*$D$14+D164*$C$15*$D$15+D165*$C$16*$D$16+D166*$C$17*$D$17+D167*$C$18*$D$18+D168*$C$19*$D$19+D169*$C$20*$D$20+D170*$C$21*$D$21+D171*$C$22*$D$22+D172*$C$23*$D$23</f>
        <v>2.9910834849111209E-2</v>
      </c>
      <c r="E178" s="2599">
        <f t="shared" si="136"/>
        <v>2.8092598969889689E-2</v>
      </c>
      <c r="F178" s="2599">
        <f t="shared" si="136"/>
        <v>2.8092598969889689E-2</v>
      </c>
      <c r="G178" s="2599">
        <f t="shared" si="136"/>
        <v>2.8092598969889689E-2</v>
      </c>
      <c r="H178" s="2599">
        <f t="shared" si="136"/>
        <v>2.8092598969889689E-2</v>
      </c>
      <c r="I178" s="2599">
        <f t="shared" si="136"/>
        <v>2.8092598969889689E-2</v>
      </c>
      <c r="J178" s="2599">
        <f t="shared" si="136"/>
        <v>2.8092598969889689E-2</v>
      </c>
      <c r="K178" s="2599">
        <f t="shared" si="136"/>
        <v>2.8092598969889689E-2</v>
      </c>
      <c r="L178" s="2062" t="s">
        <v>1304</v>
      </c>
      <c r="N178" s="1843"/>
      <c r="O178" s="1843"/>
      <c r="P178" s="1843"/>
      <c r="Q178" s="1843"/>
      <c r="R178" s="1843"/>
      <c r="S178" s="1843"/>
      <c r="T178" s="1843"/>
      <c r="U178" s="1843"/>
      <c r="V178" s="1843"/>
      <c r="W178" s="1843"/>
      <c r="X178" s="1843"/>
      <c r="Y178" s="1843"/>
      <c r="Z178" s="1843"/>
      <c r="AB178" s="1843"/>
      <c r="AC178" s="2570"/>
      <c r="AD178" s="1843"/>
      <c r="AE178" s="1843"/>
      <c r="AF178" s="1843"/>
      <c r="AG178" s="1843"/>
      <c r="AH178" s="1843"/>
      <c r="AI178" s="1843"/>
      <c r="AJ178" s="1843"/>
      <c r="AK178" s="1843"/>
    </row>
    <row r="179" spans="1:37" ht="18" customHeight="1" x14ac:dyDescent="0.2">
      <c r="A179" s="2063"/>
      <c r="B179" s="2549" t="s">
        <v>1449</v>
      </c>
      <c r="C179" s="2472"/>
      <c r="D179" s="2465">
        <f t="shared" ref="D179:K179" si="137">+D177-D178</f>
        <v>9.9776525630425814E-2</v>
      </c>
      <c r="E179" s="2465">
        <f t="shared" si="137"/>
        <v>0.10320090395016498</v>
      </c>
      <c r="F179" s="2465">
        <f t="shared" si="137"/>
        <v>0.10320090395016498</v>
      </c>
      <c r="G179" s="2465">
        <f t="shared" si="137"/>
        <v>0.10320090395016498</v>
      </c>
      <c r="H179" s="2465">
        <f t="shared" si="137"/>
        <v>0.10320090395016498</v>
      </c>
      <c r="I179" s="2465">
        <f t="shared" si="137"/>
        <v>0.10320090395016498</v>
      </c>
      <c r="J179" s="2465">
        <f t="shared" si="137"/>
        <v>0.10320090395016498</v>
      </c>
      <c r="K179" s="2465">
        <f t="shared" si="137"/>
        <v>0.10320090395016498</v>
      </c>
      <c r="L179" s="2062" t="s">
        <v>1304</v>
      </c>
      <c r="N179" s="1843"/>
      <c r="O179" s="1843"/>
      <c r="P179" s="1843"/>
      <c r="Q179" s="1843"/>
      <c r="R179" s="1843"/>
      <c r="S179" s="1843"/>
      <c r="T179" s="1843"/>
      <c r="U179" s="1843"/>
      <c r="V179" s="1843"/>
      <c r="W179" s="1843"/>
      <c r="X179" s="1843"/>
      <c r="Y179" s="1843"/>
      <c r="Z179" s="1843"/>
      <c r="AB179" s="1843"/>
      <c r="AC179" s="2570"/>
      <c r="AD179" s="1843"/>
      <c r="AE179" s="1843"/>
      <c r="AF179" s="1843"/>
      <c r="AG179" s="1843"/>
      <c r="AH179" s="1843"/>
      <c r="AI179" s="1843"/>
      <c r="AJ179" s="1843"/>
      <c r="AK179" s="1843"/>
    </row>
    <row r="180" spans="1:37" ht="18" customHeight="1" x14ac:dyDescent="0.2">
      <c r="A180" s="2063"/>
      <c r="B180" s="2063"/>
      <c r="C180" s="2063"/>
      <c r="D180" s="2063"/>
      <c r="E180" s="2063"/>
      <c r="F180" s="2063"/>
      <c r="G180" s="2063"/>
      <c r="H180" s="2063"/>
      <c r="I180" s="2063"/>
      <c r="J180" s="2063"/>
      <c r="K180" s="2063"/>
      <c r="L180" s="2063"/>
      <c r="N180" s="1843"/>
      <c r="O180" s="1843"/>
      <c r="P180" s="1843"/>
      <c r="Q180" s="1843"/>
      <c r="R180" s="1843"/>
      <c r="S180" s="1843"/>
      <c r="T180" s="1843"/>
      <c r="U180" s="1843"/>
      <c r="V180" s="1843"/>
      <c r="W180" s="1843"/>
      <c r="X180" s="1843"/>
      <c r="Y180" s="1843"/>
      <c r="Z180" s="1843"/>
      <c r="AB180" s="1843"/>
      <c r="AC180" s="2570"/>
      <c r="AD180" s="1843"/>
      <c r="AE180" s="1843"/>
      <c r="AF180" s="1843"/>
      <c r="AG180" s="1843"/>
      <c r="AH180" s="1843"/>
      <c r="AI180" s="1843"/>
      <c r="AJ180" s="1843"/>
      <c r="AK180" s="1843"/>
    </row>
    <row r="181" spans="1:37" ht="18" customHeight="1" x14ac:dyDescent="0.2">
      <c r="A181" s="2634"/>
      <c r="B181" s="2635" t="s">
        <v>1484</v>
      </c>
      <c r="C181" s="2197"/>
      <c r="D181" s="2077" t="str">
        <f t="shared" ref="D181:K181" si="138">+D130</f>
        <v>Cenário-Base</v>
      </c>
      <c r="E181" s="2077" t="str">
        <f t="shared" si="138"/>
        <v>Biodigestão RT1A + CDR TM</v>
      </c>
      <c r="F181" s="2077" t="str">
        <f t="shared" si="138"/>
        <v>Biodigestão RT1B + CDR TM</v>
      </c>
      <c r="G181" s="2077" t="str">
        <f t="shared" si="138"/>
        <v>Biodigestão RT1C + CDR TM</v>
      </c>
      <c r="H181" s="2077" t="str">
        <f t="shared" si="138"/>
        <v>Compostagem + CDR TM</v>
      </c>
      <c r="I181" s="2077" t="str">
        <f t="shared" si="138"/>
        <v xml:space="preserve">Biosecagem + CDR TMB </v>
      </c>
      <c r="J181" s="2077" t="str">
        <f t="shared" si="138"/>
        <v>Incineração Mass Burning</v>
      </c>
      <c r="K181" s="2077" t="str">
        <f t="shared" si="138"/>
        <v>Incineração Mass Burn. Descentralizada</v>
      </c>
      <c r="L181" s="2063"/>
      <c r="N181" s="1843"/>
      <c r="O181" s="1843"/>
      <c r="P181" s="1843"/>
      <c r="Q181" s="1843"/>
      <c r="R181" s="1843"/>
      <c r="S181" s="1843"/>
      <c r="T181" s="1843"/>
      <c r="U181" s="1843"/>
      <c r="V181" s="1843"/>
      <c r="W181" s="1843"/>
      <c r="X181" s="1843"/>
      <c r="Y181" s="1843"/>
      <c r="Z181" s="1843"/>
      <c r="AB181" s="1843"/>
      <c r="AC181" s="2570"/>
      <c r="AD181" s="1843"/>
      <c r="AE181" s="1843"/>
      <c r="AF181" s="1843"/>
      <c r="AG181" s="1843"/>
      <c r="AH181" s="1843"/>
      <c r="AI181" s="1843"/>
      <c r="AJ181" s="1843"/>
      <c r="AK181" s="1843"/>
    </row>
    <row r="182" spans="1:37" ht="18" customHeight="1" x14ac:dyDescent="0.2">
      <c r="A182" s="2985" t="s">
        <v>1492</v>
      </c>
      <c r="B182" s="2986"/>
      <c r="C182" s="2987"/>
      <c r="D182" s="2482">
        <f>+((D160+D161)*$C$29+D162*$C$31+D163*$C$32+D164*$C$33+(D165+D166)*$C$34+(D167+D168+D169)*$C$35+D170*$C$36+D171*$C$37+D172*$C$38)*'CO2 - Início'!$E$55/IF(D173=0,1,D173)</f>
        <v>0</v>
      </c>
      <c r="E182" s="2482">
        <f>+((E160+E161)*$C$29+E162*$C$31+E163*$C$32+E164*$C$33+(E165+E166)*$C$34+(E167+E168+E169)*$C$35+E170*$C$36+E171*$C$37+E172*$C$38)*'CO2 - Início'!$E$55/IF(E173=0,1,E173)</f>
        <v>0</v>
      </c>
      <c r="F182" s="2482">
        <f>+((F160+F161)*$C$29+F162*$C$31+F163*$C$32+F164*$C$33+(F165+F166)*$C$34+(F167+F168+F169)*$C$35+F170*$C$36+F171*$C$37+F172*$C$38)*'CO2 - Início'!$E$55/IF(F173=0,1,F173)</f>
        <v>0</v>
      </c>
      <c r="G182" s="2482">
        <f>+((G160+G161)*$C$29+G162*$C$31+G163*$C$32+G164*$C$33+(G165+G166)*$C$34+(G167+G168+G169)*$C$35+G170*$C$36+G171*$C$37+G172*$C$38)*'CO2 - Início'!$E$55/IF(G173=0,1,G173)</f>
        <v>0</v>
      </c>
      <c r="H182" s="2482">
        <f>+((H160+H161)*$C$29+H162*$C$31+H163*$C$32+H164*$C$33+(H165+H166)*$C$34+(H167+H168+H169)*$C$35+H170*$C$36+H171*$C$37+H172*$C$38)*'CO2 - Início'!$E$55/IF(H173=0,1,H173)</f>
        <v>0</v>
      </c>
      <c r="I182" s="2482">
        <f>+((I160+I161)*$C$29+I162*$C$31+I163*$C$32+I164*$C$33+(I165+I166)*$C$34+(I167+I168+I169)*$C$35+I170*$C$36+I171*$C$37+I172*$C$38)*'CO2 - Início'!$E$55/IF(I173=0,1,I173)</f>
        <v>0</v>
      </c>
      <c r="J182" s="2482">
        <f>+((J160+J161)*$C$29+J162*$C$31+J163*$C$32+J164*$C$33+(J165+J166)*$C$34+(J167+J168+J169)*$C$35+J170*$C$36+J171*$C$37+J172*$C$38)*'CO2 - Início'!$E$55/IF(J173=0,1,J173)</f>
        <v>0</v>
      </c>
      <c r="K182" s="2482">
        <f>+((K160+K161)*$C$29+K162*$C$31+K163*$C$32+K164*$C$33+(K165+K166)*$C$34+(K167+K168+K169)*$C$35+K170*$C$36+K171*$C$37+K172*$C$38)*'CO2 - Início'!$E$55/IF(K173=0,1,K173)</f>
        <v>0</v>
      </c>
      <c r="L182" s="2062" t="s">
        <v>1396</v>
      </c>
      <c r="N182" s="1843"/>
      <c r="O182" s="1843"/>
      <c r="P182" s="1843"/>
      <c r="Q182" s="1843"/>
      <c r="R182" s="1843"/>
      <c r="S182" s="1843"/>
      <c r="T182" s="1843"/>
      <c r="U182" s="1843"/>
      <c r="V182" s="1843"/>
      <c r="W182" s="1843"/>
      <c r="X182" s="1843"/>
      <c r="Y182" s="1843"/>
      <c r="Z182" s="1843"/>
      <c r="AB182" s="1843"/>
      <c r="AC182" s="2570"/>
      <c r="AD182" s="1843"/>
      <c r="AE182" s="1843"/>
      <c r="AF182" s="1843"/>
      <c r="AG182" s="1843"/>
      <c r="AH182" s="1843"/>
      <c r="AI182" s="1843"/>
      <c r="AJ182" s="1843"/>
      <c r="AK182" s="1843"/>
    </row>
    <row r="183" spans="1:37" ht="18" customHeight="1" x14ac:dyDescent="0.2">
      <c r="A183" s="2985" t="s">
        <v>1493</v>
      </c>
      <c r="B183" s="2986"/>
      <c r="C183" s="2987"/>
      <c r="D183" s="2482">
        <f>+((D160+D161)*$C$30+D162*$C$31+D163*$C$32+D164*$C$33+(D165+D166)*$C$34+(D167+D168+D169)*$C$35+D170*$C$36+D171*$C$37+D172*$C$39)*'CO2 - Início'!$E$56/IF(D173=0,1,D173)</f>
        <v>4.2365838435475247</v>
      </c>
      <c r="E183" s="2482">
        <f>+((E160+E161)*$C$30+E162*$C$31+E163*$C$32+E164*$C$33+(E165+E166)*$C$34+(E167+E168+E169)*$C$35+E170*$C$36+E171*$C$37+E172*$C$39)*'CO2 - Início'!$E$56/IF(E173=0,1,E173)</f>
        <v>4.0688613929681896</v>
      </c>
      <c r="F183" s="2482">
        <f>+((F160+F161)*$C$30+F162*$C$31+F163*$C$32+F164*$C$33+(F165+F166)*$C$34+(F167+F168+F169)*$C$35+F170*$C$36+F171*$C$37+F172*$C$39)*'CO2 - Início'!$E$56/IF(F173=0,1,F173)</f>
        <v>4.0688613929681896</v>
      </c>
      <c r="G183" s="2482">
        <f>+((G160+G161)*$C$30+G162*$C$31+G163*$C$32+G164*$C$33+(G165+G166)*$C$34+(G167+G168+G169)*$C$35+G170*$C$36+G171*$C$37+G172*$C$39)*'CO2 - Início'!$E$56/IF(G173=0,1,G173)</f>
        <v>4.0688613929681896</v>
      </c>
      <c r="H183" s="2482">
        <f>+((H160+H161)*$C$30+H162*$C$31+H163*$C$32+H164*$C$33+(H165+H166)*$C$34+(H167+H168+H169)*$C$35+H170*$C$36+H171*$C$37+H172*$C$39)*'CO2 - Início'!$E$56/IF(H173=0,1,H173)</f>
        <v>4.0688613929681896</v>
      </c>
      <c r="I183" s="2482">
        <f>+((I160+I161)*$C$30+I162*$C$31+I163*$C$32+I164*$C$33+(I165+I166)*$C$34+(I167+I168+I169)*$C$35+I170*$C$36+I171*$C$37+I172*$C$39)*'CO2 - Início'!$E$56/IF(I173=0,1,I173)</f>
        <v>4.0688613929681896</v>
      </c>
      <c r="J183" s="2482">
        <f>+((J160+J161)*$C$30+J162*$C$31+J163*$C$32+J164*$C$33+(J165+J166)*$C$34+(J167+J168+J169)*$C$35+J170*$C$36+J171*$C$37+J172*$C$39)*'CO2 - Início'!$E$56/IF(J173=0,1,J173)</f>
        <v>4.0688613929681896</v>
      </c>
      <c r="K183" s="2482">
        <f>+((K160+K161)*$C$30+K162*$C$31+K163*$C$32+K164*$C$33+(K165+K166)*$C$34+(K167+K168+K169)*$C$35+K170*$C$36+K171*$C$37+K172*$C$39)*'CO2 - Início'!$E$56/IF(K173=0,1,K173)</f>
        <v>4.0688613929681896</v>
      </c>
      <c r="L183" s="2062" t="s">
        <v>1396</v>
      </c>
      <c r="N183" s="1843"/>
      <c r="O183" s="1843"/>
      <c r="P183" s="1843"/>
      <c r="Q183" s="1843"/>
      <c r="R183" s="1843"/>
      <c r="S183" s="1843"/>
      <c r="T183" s="1843"/>
      <c r="U183" s="1843"/>
      <c r="V183" s="1843"/>
      <c r="W183" s="1843"/>
      <c r="X183" s="1843"/>
      <c r="Y183" s="1843"/>
      <c r="Z183" s="1843"/>
      <c r="AB183" s="1843"/>
      <c r="AC183" s="2570"/>
      <c r="AD183" s="1843"/>
      <c r="AE183" s="1843"/>
      <c r="AF183" s="1843"/>
      <c r="AG183" s="1843"/>
      <c r="AH183" s="1843"/>
      <c r="AI183" s="1843"/>
      <c r="AJ183" s="1843"/>
      <c r="AK183" s="1843"/>
    </row>
    <row r="184" spans="1:37" ht="14.25" x14ac:dyDescent="0.25">
      <c r="A184" s="2065"/>
      <c r="B184" s="2065"/>
      <c r="C184" s="2065"/>
      <c r="D184" s="2065"/>
      <c r="E184" s="2065"/>
      <c r="F184" s="2065"/>
      <c r="G184" s="2065"/>
      <c r="H184" s="2065"/>
      <c r="I184" s="2065"/>
      <c r="J184" s="2065"/>
      <c r="K184" s="2065"/>
      <c r="L184" s="2065"/>
      <c r="N184" s="1843"/>
      <c r="O184" s="1843"/>
      <c r="P184" s="1843"/>
      <c r="Q184" s="1843"/>
      <c r="R184" s="1843"/>
      <c r="S184" s="1843"/>
      <c r="T184" s="1843"/>
      <c r="U184" s="1843"/>
      <c r="V184" s="1843"/>
      <c r="W184" s="1843"/>
      <c r="X184" s="1843"/>
      <c r="Y184" s="1843"/>
      <c r="Z184" s="1843"/>
      <c r="AB184" s="1843"/>
      <c r="AC184" s="2570"/>
      <c r="AD184" s="1843"/>
      <c r="AE184" s="1843"/>
      <c r="AF184" s="1843"/>
      <c r="AG184" s="1843"/>
      <c r="AH184" s="1843"/>
      <c r="AI184" s="1843"/>
      <c r="AJ184" s="1843"/>
      <c r="AK184" s="1843"/>
    </row>
    <row r="185" spans="1:37" x14ac:dyDescent="0.2">
      <c r="N185" s="1843"/>
      <c r="O185" s="1843"/>
      <c r="P185" s="1843"/>
      <c r="Q185" s="1843"/>
      <c r="R185" s="1843"/>
      <c r="S185" s="1843"/>
      <c r="T185" s="1843"/>
      <c r="U185" s="1843"/>
      <c r="V185" s="1843"/>
      <c r="W185" s="1843"/>
      <c r="X185" s="1843"/>
      <c r="Y185" s="1843"/>
      <c r="Z185" s="1843"/>
      <c r="AB185" s="1843"/>
      <c r="AC185" s="2570"/>
      <c r="AD185" s="1843"/>
      <c r="AE185" s="1843"/>
      <c r="AF185" s="1843"/>
      <c r="AG185" s="1843"/>
      <c r="AH185" s="1843"/>
      <c r="AI185" s="1843"/>
      <c r="AJ185" s="1843"/>
      <c r="AK185" s="1843"/>
    </row>
    <row r="186" spans="1:37" x14ac:dyDescent="0.2">
      <c r="AB186" s="1843"/>
      <c r="AC186" s="2570"/>
      <c r="AD186" s="1843"/>
      <c r="AE186" s="1843"/>
      <c r="AF186" s="1843"/>
      <c r="AG186" s="1843"/>
      <c r="AH186" s="1843"/>
      <c r="AI186" s="1843"/>
      <c r="AJ186" s="1843"/>
      <c r="AK186" s="1843"/>
    </row>
    <row r="187" spans="1:37" x14ac:dyDescent="0.2">
      <c r="AC187" s="2570"/>
      <c r="AD187" s="1843"/>
      <c r="AE187" s="1843"/>
      <c r="AF187" s="1843"/>
      <c r="AG187" s="1843"/>
      <c r="AH187" s="1843"/>
      <c r="AI187" s="1843"/>
      <c r="AJ187" s="1843"/>
      <c r="AK187" s="1843"/>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2024-06-16T00:19:19Z</dcterms:modified>
</cp:coreProperties>
</file>